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7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JuliusMuschaweck\Documents\BUSINESS\OptikDesign\Book\Calculus\WarmUp\"/>
    </mc:Choice>
  </mc:AlternateContent>
  <xr:revisionPtr revIDLastSave="0" documentId="13_ncr:1_{604D8E25-4FAC-4A17-A41B-FD69E9487A71}" xr6:coauthVersionLast="47" xr6:coauthVersionMax="47" xr10:uidLastSave="{00000000-0000-0000-0000-000000000000}"/>
  <bookViews>
    <workbookView xWindow="-108" yWindow="-108" windowWidth="30936" windowHeight="16776" activeTab="4" xr2:uid="{00000000-000D-0000-FFFF-FFFF00000000}"/>
  </bookViews>
  <sheets>
    <sheet name="Hyp_to_CHC" sheetId="3" r:id="rId1"/>
    <sheet name="Hyperbola" sheetId="1" r:id="rId2"/>
    <sheet name="Hyperbola (2)" sheetId="4" r:id="rId3"/>
    <sheet name="CHC design" sheetId="2" r:id="rId4"/>
    <sheet name="CHC design (2)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1" i="5" l="1"/>
  <c r="H8" i="5"/>
  <c r="G8" i="5"/>
  <c r="D6" i="5"/>
  <c r="E35" i="5" s="1"/>
  <c r="G5" i="5"/>
  <c r="J4" i="5"/>
  <c r="H4" i="5"/>
  <c r="J6" i="5" s="1"/>
  <c r="G4" i="5"/>
  <c r="I4" i="5" s="1"/>
  <c r="I5" i="5" s="1"/>
  <c r="J3" i="5"/>
  <c r="H6" i="5" s="1"/>
  <c r="H3" i="5"/>
  <c r="G3" i="5"/>
  <c r="I3" i="5" s="1"/>
  <c r="G6" i="5" s="1"/>
  <c r="I26" i="4"/>
  <c r="J26" i="4"/>
  <c r="K26" i="4"/>
  <c r="L26" i="4"/>
  <c r="D29" i="4"/>
  <c r="D28" i="4"/>
  <c r="D27" i="4"/>
  <c r="D26" i="4"/>
  <c r="I25" i="4"/>
  <c r="D25" i="4"/>
  <c r="I24" i="4"/>
  <c r="D24" i="4"/>
  <c r="I23" i="4"/>
  <c r="D23" i="4"/>
  <c r="I22" i="4"/>
  <c r="D22" i="4"/>
  <c r="I21" i="4"/>
  <c r="D21" i="4"/>
  <c r="I20" i="4"/>
  <c r="D20" i="4"/>
  <c r="I19" i="4"/>
  <c r="D19" i="4"/>
  <c r="I18" i="4"/>
  <c r="D18" i="4"/>
  <c r="I17" i="4"/>
  <c r="D17" i="4"/>
  <c r="I16" i="4"/>
  <c r="D16" i="4"/>
  <c r="I15" i="4"/>
  <c r="D15" i="4"/>
  <c r="I14" i="4"/>
  <c r="D14" i="4"/>
  <c r="I13" i="4"/>
  <c r="D13" i="4"/>
  <c r="I12" i="4"/>
  <c r="D12" i="4"/>
  <c r="I11" i="4"/>
  <c r="D11" i="4"/>
  <c r="I10" i="4"/>
  <c r="D10" i="4"/>
  <c r="I9" i="4"/>
  <c r="D9" i="4"/>
  <c r="I8" i="4"/>
  <c r="D8" i="4"/>
  <c r="B8" i="4"/>
  <c r="I7" i="4"/>
  <c r="D7" i="4"/>
  <c r="I6" i="4"/>
  <c r="D6" i="4"/>
  <c r="I5" i="4"/>
  <c r="D5" i="4"/>
  <c r="B4" i="4"/>
  <c r="B22" i="4" s="1"/>
  <c r="B23" i="4" s="1"/>
  <c r="D20" i="3"/>
  <c r="E20" i="3"/>
  <c r="F20" i="3"/>
  <c r="G20" i="3"/>
  <c r="H20" i="3"/>
  <c r="I20" i="3"/>
  <c r="J20" i="3"/>
  <c r="K20" i="3"/>
  <c r="L20" i="3"/>
  <c r="M20" i="3"/>
  <c r="C20" i="3"/>
  <c r="D19" i="3"/>
  <c r="E19" i="3"/>
  <c r="F19" i="3"/>
  <c r="G19" i="3"/>
  <c r="H19" i="3"/>
  <c r="I19" i="3"/>
  <c r="J19" i="3"/>
  <c r="K19" i="3"/>
  <c r="L19" i="3"/>
  <c r="C19" i="3"/>
  <c r="B25" i="3"/>
  <c r="B42" i="3" s="1"/>
  <c r="B59" i="3" s="1"/>
  <c r="B76" i="3" s="1"/>
  <c r="B93" i="3" s="1"/>
  <c r="M12" i="3"/>
  <c r="M13" i="3"/>
  <c r="M10" i="3"/>
  <c r="C9" i="3"/>
  <c r="C10" i="3" s="1"/>
  <c r="D17" i="3"/>
  <c r="E17" i="3"/>
  <c r="F17" i="3"/>
  <c r="G17" i="3"/>
  <c r="H17" i="3"/>
  <c r="I17" i="3"/>
  <c r="J17" i="3"/>
  <c r="K17" i="3"/>
  <c r="L17" i="3"/>
  <c r="M17" i="3"/>
  <c r="D9" i="3"/>
  <c r="E9" i="3"/>
  <c r="F9" i="3"/>
  <c r="F10" i="3" s="1"/>
  <c r="G9" i="3"/>
  <c r="H9" i="3"/>
  <c r="H10" i="3" s="1"/>
  <c r="I9" i="3"/>
  <c r="J9" i="3"/>
  <c r="K9" i="3"/>
  <c r="L9" i="3"/>
  <c r="L10" i="3" s="1"/>
  <c r="C17" i="3"/>
  <c r="D6" i="3"/>
  <c r="E6" i="3"/>
  <c r="F6" i="3"/>
  <c r="G6" i="3"/>
  <c r="H6" i="3"/>
  <c r="I6" i="3"/>
  <c r="J6" i="3"/>
  <c r="K6" i="3"/>
  <c r="L6" i="3"/>
  <c r="M6" i="3"/>
  <c r="C6" i="3"/>
  <c r="D4" i="3"/>
  <c r="E4" i="3"/>
  <c r="F4" i="3"/>
  <c r="G4" i="3"/>
  <c r="H4" i="3"/>
  <c r="I4" i="3"/>
  <c r="J4" i="3"/>
  <c r="K4" i="3"/>
  <c r="L4" i="3"/>
  <c r="M4" i="3"/>
  <c r="C4" i="3"/>
  <c r="B41" i="3"/>
  <c r="B58" i="3" s="1"/>
  <c r="B75" i="3" s="1"/>
  <c r="B92" i="3" s="1"/>
  <c r="B40" i="3"/>
  <c r="B57" i="3" s="1"/>
  <c r="B74" i="3" s="1"/>
  <c r="B91" i="3" s="1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21" i="2"/>
  <c r="D39" i="2"/>
  <c r="E39" i="2"/>
  <c r="F39" i="2"/>
  <c r="G39" i="2"/>
  <c r="D40" i="2"/>
  <c r="F40" i="2" s="1"/>
  <c r="E40" i="2"/>
  <c r="D41" i="2"/>
  <c r="E41" i="2"/>
  <c r="F41" i="2"/>
  <c r="G41" i="2"/>
  <c r="D42" i="2"/>
  <c r="E42" i="2"/>
  <c r="F42" i="2"/>
  <c r="G42" i="2"/>
  <c r="D43" i="2"/>
  <c r="E43" i="2"/>
  <c r="F43" i="2"/>
  <c r="G43" i="2"/>
  <c r="D44" i="2"/>
  <c r="F44" i="2" s="1"/>
  <c r="E44" i="2"/>
  <c r="D45" i="2"/>
  <c r="E45" i="2"/>
  <c r="F45" i="2"/>
  <c r="G45" i="2"/>
  <c r="G15" i="2"/>
  <c r="G13" i="2"/>
  <c r="G12" i="2"/>
  <c r="G11" i="2"/>
  <c r="D35" i="2"/>
  <c r="E35" i="2"/>
  <c r="F35" i="2"/>
  <c r="G35" i="2"/>
  <c r="D36" i="2"/>
  <c r="E36" i="2"/>
  <c r="F36" i="2"/>
  <c r="G36" i="2"/>
  <c r="D37" i="2"/>
  <c r="E37" i="2"/>
  <c r="F37" i="2"/>
  <c r="G37" i="2"/>
  <c r="D38" i="2"/>
  <c r="E38" i="2"/>
  <c r="F38" i="2"/>
  <c r="G38" i="2"/>
  <c r="E22" i="2"/>
  <c r="E23" i="2"/>
  <c r="E24" i="2"/>
  <c r="E25" i="2"/>
  <c r="E26" i="2"/>
  <c r="E27" i="2"/>
  <c r="E28" i="2"/>
  <c r="E29" i="2"/>
  <c r="G29" i="2" s="1"/>
  <c r="E30" i="2"/>
  <c r="F30" i="2" s="1"/>
  <c r="E31" i="2"/>
  <c r="F31" i="2" s="1"/>
  <c r="E32" i="2"/>
  <c r="E33" i="2"/>
  <c r="F33" i="2" s="1"/>
  <c r="E34" i="2"/>
  <c r="E21" i="2"/>
  <c r="G21" i="2" s="1"/>
  <c r="G34" i="2"/>
  <c r="F34" i="2"/>
  <c r="F21" i="2"/>
  <c r="D23" i="2"/>
  <c r="F23" i="2"/>
  <c r="G23" i="2"/>
  <c r="D24" i="2"/>
  <c r="F24" i="2" s="1"/>
  <c r="D25" i="2"/>
  <c r="F25" i="2"/>
  <c r="G25" i="2"/>
  <c r="D26" i="2"/>
  <c r="F26" i="2"/>
  <c r="G26" i="2"/>
  <c r="D27" i="2"/>
  <c r="F27" i="2"/>
  <c r="G27" i="2"/>
  <c r="D28" i="2"/>
  <c r="F28" i="2" s="1"/>
  <c r="D29" i="2"/>
  <c r="F29" i="2"/>
  <c r="D30" i="2"/>
  <c r="D31" i="2"/>
  <c r="D32" i="2"/>
  <c r="D33" i="2"/>
  <c r="G33" i="2"/>
  <c r="D34" i="2"/>
  <c r="D22" i="2"/>
  <c r="D21" i="2"/>
  <c r="D17" i="2"/>
  <c r="D18" i="2" s="1"/>
  <c r="H8" i="2"/>
  <c r="G8" i="2"/>
  <c r="D16" i="2"/>
  <c r="D15" i="2"/>
  <c r="D11" i="2"/>
  <c r="D8" i="2"/>
  <c r="D13" i="2"/>
  <c r="D12" i="2"/>
  <c r="D10" i="2"/>
  <c r="D7" i="2"/>
  <c r="J6" i="2"/>
  <c r="I6" i="2"/>
  <c r="H6" i="2"/>
  <c r="G6" i="2"/>
  <c r="I5" i="2"/>
  <c r="G5" i="2"/>
  <c r="J4" i="2"/>
  <c r="H4" i="2"/>
  <c r="G4" i="2"/>
  <c r="I4" i="2" s="1"/>
  <c r="J3" i="2"/>
  <c r="I3" i="2"/>
  <c r="H3" i="2"/>
  <c r="G3" i="2"/>
  <c r="D6" i="2"/>
  <c r="I24" i="1"/>
  <c r="I25" i="1"/>
  <c r="D24" i="1"/>
  <c r="D25" i="1"/>
  <c r="D26" i="1"/>
  <c r="D27" i="1"/>
  <c r="D28" i="1"/>
  <c r="D29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B4" i="1"/>
  <c r="B20" i="1" s="1"/>
  <c r="I6" i="5" l="1"/>
  <c r="D7" i="5"/>
  <c r="D8" i="5" s="1"/>
  <c r="E28" i="5"/>
  <c r="E30" i="5"/>
  <c r="D10" i="5"/>
  <c r="E40" i="5"/>
  <c r="E43" i="5"/>
  <c r="E29" i="5"/>
  <c r="E39" i="5"/>
  <c r="E21" i="5"/>
  <c r="E22" i="5"/>
  <c r="E32" i="5"/>
  <c r="E42" i="5"/>
  <c r="E23" i="5"/>
  <c r="E44" i="5"/>
  <c r="E26" i="5"/>
  <c r="E36" i="5"/>
  <c r="E38" i="5"/>
  <c r="E31" i="5"/>
  <c r="E41" i="5"/>
  <c r="E27" i="5"/>
  <c r="E37" i="5"/>
  <c r="E33" i="5"/>
  <c r="E24" i="5"/>
  <c r="E34" i="5"/>
  <c r="E25" i="5"/>
  <c r="E45" i="5"/>
  <c r="B20" i="4"/>
  <c r="B5" i="4"/>
  <c r="B6" i="4" s="1"/>
  <c r="J14" i="4" s="1"/>
  <c r="J10" i="4"/>
  <c r="J16" i="4"/>
  <c r="J5" i="4"/>
  <c r="E11" i="4"/>
  <c r="E17" i="4"/>
  <c r="E19" i="4"/>
  <c r="E25" i="4"/>
  <c r="E14" i="4"/>
  <c r="J25" i="4"/>
  <c r="E15" i="4"/>
  <c r="J15" i="4"/>
  <c r="E22" i="4"/>
  <c r="B17" i="4"/>
  <c r="J22" i="4"/>
  <c r="B22" i="1"/>
  <c r="B23" i="1" s="1"/>
  <c r="B26" i="3"/>
  <c r="M14" i="3"/>
  <c r="H11" i="3"/>
  <c r="H12" i="3" s="1"/>
  <c r="H13" i="3" s="1"/>
  <c r="H14" i="3" s="1"/>
  <c r="C11" i="3"/>
  <c r="C12" i="3" s="1"/>
  <c r="C13" i="3" s="1"/>
  <c r="F11" i="3"/>
  <c r="F12" i="3" s="1"/>
  <c r="F13" i="3" s="1"/>
  <c r="L11" i="3"/>
  <c r="L12" i="3" s="1"/>
  <c r="L13" i="3" s="1"/>
  <c r="E10" i="3"/>
  <c r="E11" i="3" s="1"/>
  <c r="E12" i="3" s="1"/>
  <c r="D10" i="3"/>
  <c r="K10" i="3"/>
  <c r="J10" i="3"/>
  <c r="I10" i="3"/>
  <c r="G10" i="3"/>
  <c r="G44" i="2"/>
  <c r="G40" i="2"/>
  <c r="F22" i="2"/>
  <c r="F32" i="2"/>
  <c r="G31" i="2"/>
  <c r="G30" i="2"/>
  <c r="G32" i="2"/>
  <c r="G28" i="2"/>
  <c r="G24" i="2"/>
  <c r="G22" i="2"/>
  <c r="B5" i="1"/>
  <c r="B6" i="1" s="1"/>
  <c r="B33" i="1" s="1"/>
  <c r="B8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6" i="1"/>
  <c r="D5" i="1"/>
  <c r="D11" i="5" l="1"/>
  <c r="D12" i="5"/>
  <c r="L14" i="4"/>
  <c r="K14" i="4"/>
  <c r="G14" i="4"/>
  <c r="F14" i="4"/>
  <c r="L22" i="4"/>
  <c r="K22" i="4"/>
  <c r="G15" i="4"/>
  <c r="F15" i="4"/>
  <c r="K10" i="4"/>
  <c r="L10" i="4"/>
  <c r="F22" i="4"/>
  <c r="G22" i="4"/>
  <c r="L25" i="4"/>
  <c r="K25" i="4"/>
  <c r="L16" i="4"/>
  <c r="K16" i="4"/>
  <c r="E5" i="4"/>
  <c r="E29" i="4"/>
  <c r="E16" i="4"/>
  <c r="J21" i="4"/>
  <c r="B10" i="4"/>
  <c r="K15" i="4"/>
  <c r="L15" i="4"/>
  <c r="F25" i="4"/>
  <c r="G25" i="4"/>
  <c r="G19" i="4"/>
  <c r="F19" i="4"/>
  <c r="G17" i="4"/>
  <c r="F17" i="4"/>
  <c r="G11" i="4"/>
  <c r="F11" i="4"/>
  <c r="L5" i="4"/>
  <c r="K5" i="4"/>
  <c r="B33" i="4"/>
  <c r="C33" i="4" s="1"/>
  <c r="E33" i="4" s="1"/>
  <c r="C36" i="4" s="1"/>
  <c r="J18" i="4"/>
  <c r="E24" i="4"/>
  <c r="E7" i="4"/>
  <c r="E12" i="4"/>
  <c r="J17" i="4"/>
  <c r="J12" i="4"/>
  <c r="E6" i="4"/>
  <c r="J7" i="4"/>
  <c r="E13" i="4"/>
  <c r="E18" i="4"/>
  <c r="J23" i="4"/>
  <c r="J6" i="4"/>
  <c r="E23" i="4"/>
  <c r="J24" i="4"/>
  <c r="E10" i="4"/>
  <c r="E28" i="4"/>
  <c r="E21" i="4"/>
  <c r="E9" i="4"/>
  <c r="E20" i="4"/>
  <c r="J8" i="4"/>
  <c r="E8" i="4"/>
  <c r="J9" i="4"/>
  <c r="E27" i="4"/>
  <c r="J20" i="4"/>
  <c r="E26" i="4"/>
  <c r="B9" i="4"/>
  <c r="J19" i="4"/>
  <c r="J13" i="4"/>
  <c r="J11" i="4"/>
  <c r="B27" i="3"/>
  <c r="B43" i="3"/>
  <c r="B60" i="3" s="1"/>
  <c r="B77" i="3" s="1"/>
  <c r="B94" i="3" s="1"/>
  <c r="M15" i="3"/>
  <c r="F14" i="3"/>
  <c r="F15" i="3"/>
  <c r="F16" i="3" s="1"/>
  <c r="L15" i="3"/>
  <c r="L16" i="3" s="1"/>
  <c r="L14" i="3"/>
  <c r="C14" i="3"/>
  <c r="C15" i="3"/>
  <c r="C16" i="3" s="1"/>
  <c r="J11" i="3"/>
  <c r="J12" i="3" s="1"/>
  <c r="J13" i="3" s="1"/>
  <c r="H15" i="3"/>
  <c r="H16" i="3" s="1"/>
  <c r="E13" i="3"/>
  <c r="E15" i="3" s="1"/>
  <c r="E16" i="3" s="1"/>
  <c r="K11" i="3"/>
  <c r="K12" i="3" s="1"/>
  <c r="K13" i="3" s="1"/>
  <c r="K15" i="3" s="1"/>
  <c r="K16" i="3" s="1"/>
  <c r="G11" i="3"/>
  <c r="G12" i="3" s="1"/>
  <c r="G13" i="3" s="1"/>
  <c r="D11" i="3"/>
  <c r="D12" i="3" s="1"/>
  <c r="D13" i="3" s="1"/>
  <c r="D15" i="3" s="1"/>
  <c r="D16" i="3" s="1"/>
  <c r="I11" i="3"/>
  <c r="I12" i="3" s="1"/>
  <c r="I13" i="3" s="1"/>
  <c r="B9" i="1"/>
  <c r="J24" i="1"/>
  <c r="J15" i="1"/>
  <c r="J16" i="1"/>
  <c r="E27" i="1"/>
  <c r="J20" i="1"/>
  <c r="E28" i="1"/>
  <c r="J7" i="1"/>
  <c r="E24" i="1"/>
  <c r="J25" i="1"/>
  <c r="J17" i="1"/>
  <c r="J18" i="1"/>
  <c r="J19" i="1"/>
  <c r="J21" i="1"/>
  <c r="J6" i="1"/>
  <c r="J22" i="1"/>
  <c r="J23" i="1"/>
  <c r="J8" i="1"/>
  <c r="J9" i="1"/>
  <c r="J10" i="1"/>
  <c r="J12" i="1"/>
  <c r="J5" i="1"/>
  <c r="J13" i="1"/>
  <c r="J14" i="1"/>
  <c r="J11" i="1"/>
  <c r="E26" i="1"/>
  <c r="E29" i="1"/>
  <c r="E25" i="1"/>
  <c r="B10" i="1"/>
  <c r="E5" i="1"/>
  <c r="E6" i="1"/>
  <c r="E21" i="1"/>
  <c r="E20" i="1"/>
  <c r="E19" i="1"/>
  <c r="E18" i="1"/>
  <c r="E23" i="1"/>
  <c r="F23" i="1" s="1"/>
  <c r="E17" i="1"/>
  <c r="E15" i="1"/>
  <c r="E16" i="1"/>
  <c r="E14" i="1"/>
  <c r="E13" i="1"/>
  <c r="E12" i="1"/>
  <c r="E11" i="1"/>
  <c r="E10" i="1"/>
  <c r="E9" i="1"/>
  <c r="E8" i="1"/>
  <c r="E7" i="1"/>
  <c r="E22" i="1"/>
  <c r="B17" i="1"/>
  <c r="G11" i="5" l="1"/>
  <c r="D13" i="5"/>
  <c r="D15" i="5" s="1"/>
  <c r="D16" i="5" s="1"/>
  <c r="D17" i="5" s="1"/>
  <c r="D18" i="5" s="1"/>
  <c r="F23" i="4"/>
  <c r="G23" i="4"/>
  <c r="K7" i="4"/>
  <c r="L7" i="4"/>
  <c r="K18" i="4"/>
  <c r="L18" i="4"/>
  <c r="L6" i="4"/>
  <c r="K6" i="4"/>
  <c r="G7" i="4"/>
  <c r="F7" i="4"/>
  <c r="L24" i="4"/>
  <c r="K24" i="4"/>
  <c r="F13" i="4"/>
  <c r="G13" i="4"/>
  <c r="K12" i="4"/>
  <c r="L12" i="4"/>
  <c r="G24" i="4"/>
  <c r="F24" i="4"/>
  <c r="L21" i="4"/>
  <c r="K21" i="4"/>
  <c r="G27" i="4"/>
  <c r="F27" i="4"/>
  <c r="D36" i="4"/>
  <c r="C37" i="4"/>
  <c r="D37" i="4" s="1"/>
  <c r="E37" i="4" s="1"/>
  <c r="G29" i="4"/>
  <c r="F29" i="4"/>
  <c r="L11" i="4"/>
  <c r="K11" i="4"/>
  <c r="L19" i="4"/>
  <c r="K19" i="4"/>
  <c r="G26" i="4"/>
  <c r="F26" i="4"/>
  <c r="L9" i="4"/>
  <c r="K9" i="4"/>
  <c r="L8" i="4"/>
  <c r="K8" i="4"/>
  <c r="L23" i="4"/>
  <c r="K23" i="4"/>
  <c r="G6" i="4"/>
  <c r="F6" i="4"/>
  <c r="G12" i="4"/>
  <c r="F12" i="4"/>
  <c r="G16" i="4"/>
  <c r="F16" i="4"/>
  <c r="G8" i="4"/>
  <c r="F8" i="4"/>
  <c r="F28" i="4"/>
  <c r="G28" i="4"/>
  <c r="G18" i="4"/>
  <c r="F18" i="4"/>
  <c r="K17" i="4"/>
  <c r="L17" i="4"/>
  <c r="G5" i="4"/>
  <c r="F5" i="4"/>
  <c r="K13" i="4"/>
  <c r="L13" i="4"/>
  <c r="B15" i="4"/>
  <c r="B14" i="4"/>
  <c r="C35" i="4"/>
  <c r="K20" i="4"/>
  <c r="L20" i="4"/>
  <c r="G20" i="4"/>
  <c r="F20" i="4"/>
  <c r="G9" i="4"/>
  <c r="F9" i="4"/>
  <c r="F21" i="4"/>
  <c r="G21" i="4"/>
  <c r="G10" i="4"/>
  <c r="F10" i="4"/>
  <c r="B15" i="1"/>
  <c r="C33" i="1"/>
  <c r="E33" i="1" s="1"/>
  <c r="C36" i="1" s="1"/>
  <c r="M16" i="3"/>
  <c r="M26" i="3" s="1"/>
  <c r="M58" i="3"/>
  <c r="M66" i="3"/>
  <c r="M59" i="3"/>
  <c r="M67" i="3"/>
  <c r="M71" i="3"/>
  <c r="M62" i="3"/>
  <c r="M70" i="3"/>
  <c r="M63" i="3"/>
  <c r="M65" i="3"/>
  <c r="M60" i="3"/>
  <c r="M69" i="3"/>
  <c r="M61" i="3"/>
  <c r="M68" i="3"/>
  <c r="M57" i="3"/>
  <c r="M64" i="3"/>
  <c r="B44" i="3"/>
  <c r="B61" i="3" s="1"/>
  <c r="B78" i="3" s="1"/>
  <c r="B95" i="3" s="1"/>
  <c r="B28" i="3"/>
  <c r="F28" i="3" s="1"/>
  <c r="E26" i="3"/>
  <c r="E43" i="3" s="1"/>
  <c r="E24" i="3"/>
  <c r="E41" i="3" s="1"/>
  <c r="E27" i="3"/>
  <c r="E23" i="3"/>
  <c r="E40" i="3" s="1"/>
  <c r="E25" i="3"/>
  <c r="E59" i="3" s="1"/>
  <c r="D24" i="3"/>
  <c r="D41" i="3" s="1"/>
  <c r="D27" i="3"/>
  <c r="D44" i="3" s="1"/>
  <c r="D23" i="3"/>
  <c r="D40" i="3" s="1"/>
  <c r="D25" i="3"/>
  <c r="D59" i="3" s="1"/>
  <c r="D26" i="3"/>
  <c r="D43" i="3" s="1"/>
  <c r="H25" i="3"/>
  <c r="H42" i="3" s="1"/>
  <c r="H26" i="3"/>
  <c r="H60" i="3" s="1"/>
  <c r="H23" i="3"/>
  <c r="H40" i="3" s="1"/>
  <c r="H24" i="3"/>
  <c r="H58" i="3" s="1"/>
  <c r="H27" i="3"/>
  <c r="M24" i="3"/>
  <c r="M27" i="3"/>
  <c r="M23" i="3"/>
  <c r="M25" i="3"/>
  <c r="C24" i="3"/>
  <c r="C41" i="3" s="1"/>
  <c r="C27" i="3"/>
  <c r="C25" i="3"/>
  <c r="C42" i="3" s="1"/>
  <c r="C26" i="3"/>
  <c r="C43" i="3" s="1"/>
  <c r="C23" i="3"/>
  <c r="C40" i="3" s="1"/>
  <c r="K24" i="3"/>
  <c r="K58" i="3" s="1"/>
  <c r="K27" i="3"/>
  <c r="K23" i="3"/>
  <c r="K57" i="3" s="1"/>
  <c r="K26" i="3"/>
  <c r="K60" i="3" s="1"/>
  <c r="K25" i="3"/>
  <c r="K42" i="3" s="1"/>
  <c r="E14" i="3"/>
  <c r="L24" i="3"/>
  <c r="L41" i="3" s="1"/>
  <c r="L27" i="3"/>
  <c r="L23" i="3"/>
  <c r="L25" i="3"/>
  <c r="L26" i="3"/>
  <c r="L43" i="3" s="1"/>
  <c r="F26" i="3"/>
  <c r="F60" i="3" s="1"/>
  <c r="F24" i="3"/>
  <c r="F58" i="3" s="1"/>
  <c r="F27" i="3"/>
  <c r="F23" i="3"/>
  <c r="F40" i="3" s="1"/>
  <c r="F25" i="3"/>
  <c r="F59" i="3" s="1"/>
  <c r="J14" i="3"/>
  <c r="J15" i="3"/>
  <c r="J16" i="3" s="1"/>
  <c r="G14" i="3"/>
  <c r="G15" i="3"/>
  <c r="G16" i="3" s="1"/>
  <c r="I15" i="3"/>
  <c r="I16" i="3" s="1"/>
  <c r="I14" i="3"/>
  <c r="D14" i="3"/>
  <c r="K14" i="3"/>
  <c r="E60" i="3"/>
  <c r="E94" i="3" s="1"/>
  <c r="L59" i="3"/>
  <c r="L42" i="3"/>
  <c r="L40" i="3"/>
  <c r="L57" i="3"/>
  <c r="B14" i="1"/>
  <c r="K17" i="1"/>
  <c r="L17" i="1"/>
  <c r="K25" i="1"/>
  <c r="L25" i="1"/>
  <c r="F24" i="1"/>
  <c r="G24" i="1"/>
  <c r="K7" i="1"/>
  <c r="L7" i="1"/>
  <c r="L22" i="1"/>
  <c r="K22" i="1"/>
  <c r="F25" i="1"/>
  <c r="G25" i="1"/>
  <c r="G27" i="1"/>
  <c r="F27" i="1"/>
  <c r="F29" i="1"/>
  <c r="G29" i="1"/>
  <c r="L16" i="1"/>
  <c r="K16" i="1"/>
  <c r="F26" i="1"/>
  <c r="G26" i="1"/>
  <c r="L19" i="1"/>
  <c r="K19" i="1"/>
  <c r="K11" i="1"/>
  <c r="L11" i="1"/>
  <c r="K24" i="1"/>
  <c r="L24" i="1"/>
  <c r="K13" i="1"/>
  <c r="L13" i="1"/>
  <c r="K5" i="1"/>
  <c r="L5" i="1"/>
  <c r="K12" i="1"/>
  <c r="L12" i="1"/>
  <c r="K10" i="1"/>
  <c r="L10" i="1"/>
  <c r="K9" i="1"/>
  <c r="L9" i="1"/>
  <c r="K8" i="1"/>
  <c r="L8" i="1"/>
  <c r="K23" i="1"/>
  <c r="L23" i="1"/>
  <c r="F28" i="1"/>
  <c r="G28" i="1"/>
  <c r="K20" i="1"/>
  <c r="L20" i="1"/>
  <c r="L6" i="1"/>
  <c r="K6" i="1"/>
  <c r="K21" i="1"/>
  <c r="L21" i="1"/>
  <c r="K15" i="1"/>
  <c r="L15" i="1"/>
  <c r="K14" i="1"/>
  <c r="L14" i="1"/>
  <c r="K18" i="1"/>
  <c r="L18" i="1"/>
  <c r="F7" i="1"/>
  <c r="F20" i="1"/>
  <c r="F17" i="1"/>
  <c r="F13" i="1"/>
  <c r="F22" i="1"/>
  <c r="F19" i="1"/>
  <c r="F16" i="1"/>
  <c r="F9" i="1"/>
  <c r="F14" i="1"/>
  <c r="F11" i="1"/>
  <c r="F5" i="1"/>
  <c r="F21" i="1"/>
  <c r="F18" i="1"/>
  <c r="F15" i="1"/>
  <c r="F12" i="1"/>
  <c r="F6" i="1"/>
  <c r="G10" i="1"/>
  <c r="F10" i="1"/>
  <c r="G8" i="1"/>
  <c r="F8" i="1"/>
  <c r="G6" i="1"/>
  <c r="G16" i="1"/>
  <c r="G20" i="1"/>
  <c r="G22" i="1"/>
  <c r="G14" i="1"/>
  <c r="G18" i="1"/>
  <c r="G17" i="1"/>
  <c r="G15" i="1"/>
  <c r="G21" i="1"/>
  <c r="G19" i="1"/>
  <c r="G9" i="1"/>
  <c r="G7" i="1"/>
  <c r="G23" i="1"/>
  <c r="G12" i="1"/>
  <c r="G13" i="1"/>
  <c r="G11" i="1"/>
  <c r="G5" i="1"/>
  <c r="D35" i="5" l="1"/>
  <c r="D45" i="5"/>
  <c r="D25" i="5"/>
  <c r="D34" i="5"/>
  <c r="D44" i="5"/>
  <c r="D24" i="5"/>
  <c r="D33" i="5"/>
  <c r="D42" i="5"/>
  <c r="D21" i="5"/>
  <c r="D30" i="5"/>
  <c r="D41" i="5"/>
  <c r="D40" i="5"/>
  <c r="D39" i="5"/>
  <c r="D38" i="5"/>
  <c r="D23" i="5"/>
  <c r="D43" i="5"/>
  <c r="D32" i="5"/>
  <c r="D22" i="5"/>
  <c r="D31" i="5"/>
  <c r="D28" i="5"/>
  <c r="D26" i="5"/>
  <c r="D37" i="5"/>
  <c r="D36" i="5"/>
  <c r="D29" i="5"/>
  <c r="D27" i="5"/>
  <c r="G12" i="5"/>
  <c r="G13" i="5"/>
  <c r="C39" i="4"/>
  <c r="D35" i="4"/>
  <c r="E35" i="4" s="1"/>
  <c r="C35" i="1"/>
  <c r="C37" i="1"/>
  <c r="D37" i="1" s="1"/>
  <c r="E37" i="1" s="1"/>
  <c r="D36" i="1"/>
  <c r="K41" i="3"/>
  <c r="K92" i="3" s="1"/>
  <c r="D42" i="3"/>
  <c r="K59" i="3"/>
  <c r="K76" i="3" s="1"/>
  <c r="F61" i="3"/>
  <c r="K43" i="3"/>
  <c r="K94" i="3" s="1"/>
  <c r="L60" i="3"/>
  <c r="E42" i="3"/>
  <c r="E76" i="3" s="1"/>
  <c r="K44" i="3"/>
  <c r="H28" i="3"/>
  <c r="C28" i="3"/>
  <c r="F44" i="3"/>
  <c r="H61" i="3"/>
  <c r="K28" i="3"/>
  <c r="M28" i="3"/>
  <c r="E44" i="3"/>
  <c r="D28" i="3"/>
  <c r="L28" i="3"/>
  <c r="C44" i="3"/>
  <c r="E28" i="3"/>
  <c r="L58" i="3"/>
  <c r="L92" i="3" s="1"/>
  <c r="H57" i="3"/>
  <c r="D57" i="3"/>
  <c r="B45" i="3"/>
  <c r="B29" i="3"/>
  <c r="J29" i="3" s="1"/>
  <c r="D58" i="3"/>
  <c r="D75" i="3" s="1"/>
  <c r="D60" i="3"/>
  <c r="D94" i="3" s="1"/>
  <c r="H43" i="3"/>
  <c r="H77" i="3" s="1"/>
  <c r="D61" i="3"/>
  <c r="D78" i="3" s="1"/>
  <c r="H41" i="3"/>
  <c r="H92" i="3" s="1"/>
  <c r="E61" i="3"/>
  <c r="H59" i="3"/>
  <c r="H76" i="3" s="1"/>
  <c r="F42" i="3"/>
  <c r="F76" i="3" s="1"/>
  <c r="F41" i="3"/>
  <c r="F75" i="3" s="1"/>
  <c r="F43" i="3"/>
  <c r="I25" i="3"/>
  <c r="I28" i="3"/>
  <c r="I26" i="3"/>
  <c r="I24" i="3"/>
  <c r="I27" i="3"/>
  <c r="I23" i="3"/>
  <c r="K61" i="3"/>
  <c r="J27" i="3"/>
  <c r="J61" i="3" s="1"/>
  <c r="J23" i="3"/>
  <c r="J25" i="3"/>
  <c r="J59" i="3" s="1"/>
  <c r="J28" i="3"/>
  <c r="J26" i="3"/>
  <c r="J60" i="3" s="1"/>
  <c r="J24" i="3"/>
  <c r="J41" i="3" s="1"/>
  <c r="F57" i="3"/>
  <c r="F74" i="3" s="1"/>
  <c r="G28" i="3"/>
  <c r="G26" i="3"/>
  <c r="G24" i="3"/>
  <c r="G58" i="3" s="1"/>
  <c r="G27" i="3"/>
  <c r="G61" i="3" s="1"/>
  <c r="G23" i="3"/>
  <c r="G40" i="3" s="1"/>
  <c r="G25" i="3"/>
  <c r="E58" i="3"/>
  <c r="E75" i="3" s="1"/>
  <c r="L44" i="3"/>
  <c r="L61" i="3"/>
  <c r="E57" i="3"/>
  <c r="E91" i="3" s="1"/>
  <c r="H44" i="3"/>
  <c r="E77" i="3"/>
  <c r="K40" i="3"/>
  <c r="K91" i="3" s="1"/>
  <c r="F91" i="3"/>
  <c r="G57" i="3"/>
  <c r="K75" i="3"/>
  <c r="L76" i="3"/>
  <c r="L93" i="3"/>
  <c r="H74" i="3"/>
  <c r="H91" i="3"/>
  <c r="L91" i="3"/>
  <c r="L74" i="3"/>
  <c r="D91" i="3"/>
  <c r="D74" i="3"/>
  <c r="J57" i="3"/>
  <c r="J40" i="3"/>
  <c r="D76" i="3"/>
  <c r="D93" i="3"/>
  <c r="L77" i="3"/>
  <c r="L94" i="3"/>
  <c r="C58" i="3"/>
  <c r="C75" i="3" s="1"/>
  <c r="C57" i="3"/>
  <c r="C74" i="3" s="1"/>
  <c r="C60" i="3"/>
  <c r="C77" i="3" s="1"/>
  <c r="C59" i="3"/>
  <c r="C76" i="3" s="1"/>
  <c r="C61" i="3"/>
  <c r="F26" i="5" l="1"/>
  <c r="G26" i="5"/>
  <c r="H26" i="5" s="1"/>
  <c r="F36" i="5"/>
  <c r="G36" i="5"/>
  <c r="H36" i="5" s="1"/>
  <c r="G28" i="5"/>
  <c r="H28" i="5" s="1"/>
  <c r="F28" i="5"/>
  <c r="F43" i="5"/>
  <c r="G43" i="5"/>
  <c r="G41" i="5"/>
  <c r="F41" i="5"/>
  <c r="G15" i="5"/>
  <c r="G29" i="5"/>
  <c r="H29" i="5" s="1"/>
  <c r="F29" i="5"/>
  <c r="G31" i="5"/>
  <c r="H31" i="5" s="1"/>
  <c r="F31" i="5"/>
  <c r="F32" i="5"/>
  <c r="G32" i="5"/>
  <c r="H32" i="5" s="1"/>
  <c r="G38" i="5"/>
  <c r="H38" i="5" s="1"/>
  <c r="F38" i="5"/>
  <c r="F40" i="5"/>
  <c r="G40" i="5"/>
  <c r="H40" i="5" s="1"/>
  <c r="F45" i="5"/>
  <c r="G45" i="5"/>
  <c r="F27" i="5"/>
  <c r="G27" i="5"/>
  <c r="H27" i="5" s="1"/>
  <c r="G37" i="5"/>
  <c r="H37" i="5" s="1"/>
  <c r="F37" i="5"/>
  <c r="F22" i="5"/>
  <c r="G22" i="5"/>
  <c r="H22" i="5" s="1"/>
  <c r="F23" i="5"/>
  <c r="G23" i="5"/>
  <c r="H23" i="5" s="1"/>
  <c r="G39" i="5"/>
  <c r="H39" i="5" s="1"/>
  <c r="F39" i="5"/>
  <c r="G30" i="5"/>
  <c r="H30" i="5" s="1"/>
  <c r="F30" i="5"/>
  <c r="F21" i="5"/>
  <c r="G21" i="5"/>
  <c r="H21" i="5" s="1"/>
  <c r="F42" i="5"/>
  <c r="G42" i="5"/>
  <c r="G33" i="5"/>
  <c r="H33" i="5" s="1"/>
  <c r="F33" i="5"/>
  <c r="G24" i="5"/>
  <c r="H24" i="5" s="1"/>
  <c r="F24" i="5"/>
  <c r="G44" i="5"/>
  <c r="F44" i="5"/>
  <c r="G34" i="5"/>
  <c r="H34" i="5" s="1"/>
  <c r="F34" i="5"/>
  <c r="G25" i="5"/>
  <c r="H25" i="5" s="1"/>
  <c r="F25" i="5"/>
  <c r="F35" i="5"/>
  <c r="G35" i="5"/>
  <c r="H35" i="5" s="1"/>
  <c r="D35" i="1"/>
  <c r="E35" i="1" s="1"/>
  <c r="C39" i="1"/>
  <c r="K77" i="3"/>
  <c r="K93" i="3"/>
  <c r="I29" i="3"/>
  <c r="E78" i="3"/>
  <c r="L75" i="3"/>
  <c r="E45" i="3"/>
  <c r="J44" i="3"/>
  <c r="J78" i="3" s="1"/>
  <c r="D77" i="3"/>
  <c r="H78" i="3"/>
  <c r="H93" i="3"/>
  <c r="K78" i="3"/>
  <c r="F95" i="3"/>
  <c r="G29" i="3"/>
  <c r="H75" i="3"/>
  <c r="E95" i="3"/>
  <c r="F78" i="3"/>
  <c r="K95" i="3"/>
  <c r="E93" i="3"/>
  <c r="F92" i="3"/>
  <c r="C95" i="3"/>
  <c r="D92" i="3"/>
  <c r="F93" i="3"/>
  <c r="J58" i="3"/>
  <c r="J75" i="3" s="1"/>
  <c r="D95" i="3"/>
  <c r="K45" i="3"/>
  <c r="B62" i="3"/>
  <c r="I62" i="3" s="1"/>
  <c r="L45" i="3"/>
  <c r="D45" i="3"/>
  <c r="G45" i="3"/>
  <c r="F45" i="3"/>
  <c r="H45" i="3"/>
  <c r="C45" i="3"/>
  <c r="H29" i="3"/>
  <c r="K29" i="3"/>
  <c r="M29" i="3"/>
  <c r="F29" i="3"/>
  <c r="B30" i="3"/>
  <c r="C29" i="3"/>
  <c r="E29" i="3"/>
  <c r="B46" i="3"/>
  <c r="B63" i="3" s="1"/>
  <c r="B80" i="3" s="1"/>
  <c r="B97" i="3" s="1"/>
  <c r="D29" i="3"/>
  <c r="L29" i="3"/>
  <c r="H94" i="3"/>
  <c r="J42" i="3"/>
  <c r="J76" i="3" s="1"/>
  <c r="G41" i="3"/>
  <c r="G92" i="3" s="1"/>
  <c r="J45" i="3"/>
  <c r="J43" i="3"/>
  <c r="J77" i="3" s="1"/>
  <c r="H95" i="3"/>
  <c r="E92" i="3"/>
  <c r="F77" i="3"/>
  <c r="F94" i="3"/>
  <c r="G44" i="3"/>
  <c r="G78" i="3" s="1"/>
  <c r="K74" i="3"/>
  <c r="E74" i="3"/>
  <c r="L95" i="3"/>
  <c r="L78" i="3"/>
  <c r="I60" i="3"/>
  <c r="I43" i="3"/>
  <c r="I42" i="3"/>
  <c r="I59" i="3"/>
  <c r="G42" i="3"/>
  <c r="G59" i="3"/>
  <c r="G43" i="3"/>
  <c r="G60" i="3"/>
  <c r="I57" i="3"/>
  <c r="I40" i="3"/>
  <c r="I58" i="3"/>
  <c r="I41" i="3"/>
  <c r="I45" i="3"/>
  <c r="I44" i="3"/>
  <c r="I61" i="3"/>
  <c r="G74" i="3"/>
  <c r="G91" i="3"/>
  <c r="C91" i="3"/>
  <c r="J74" i="3"/>
  <c r="J91" i="3"/>
  <c r="C93" i="3"/>
  <c r="C94" i="3"/>
  <c r="C78" i="3"/>
  <c r="C92" i="3"/>
  <c r="J95" i="3" l="1"/>
  <c r="J92" i="3"/>
  <c r="J46" i="3"/>
  <c r="J63" i="3"/>
  <c r="B79" i="3"/>
  <c r="B96" i="3" s="1"/>
  <c r="D62" i="3"/>
  <c r="D96" i="3" s="1"/>
  <c r="H62" i="3"/>
  <c r="H96" i="3" s="1"/>
  <c r="G62" i="3"/>
  <c r="L62" i="3"/>
  <c r="L79" i="3" s="1"/>
  <c r="C62" i="3"/>
  <c r="F62" i="3"/>
  <c r="F96" i="3" s="1"/>
  <c r="E62" i="3"/>
  <c r="K62" i="3"/>
  <c r="K96" i="3" s="1"/>
  <c r="I63" i="3"/>
  <c r="E63" i="3"/>
  <c r="E46" i="3"/>
  <c r="J62" i="3"/>
  <c r="J96" i="3" s="1"/>
  <c r="I46" i="3"/>
  <c r="C46" i="3"/>
  <c r="C63" i="3"/>
  <c r="G46" i="3"/>
  <c r="G63" i="3"/>
  <c r="F63" i="3"/>
  <c r="F46" i="3"/>
  <c r="D30" i="3"/>
  <c r="K30" i="3"/>
  <c r="L30" i="3"/>
  <c r="E30" i="3"/>
  <c r="H30" i="3"/>
  <c r="M30" i="3"/>
  <c r="F30" i="3"/>
  <c r="C30" i="3"/>
  <c r="G30" i="3"/>
  <c r="B47" i="3"/>
  <c r="B31" i="3"/>
  <c r="J30" i="3"/>
  <c r="I30" i="3"/>
  <c r="L63" i="3"/>
  <c r="L46" i="3"/>
  <c r="K46" i="3"/>
  <c r="K63" i="3"/>
  <c r="D63" i="3"/>
  <c r="D46" i="3"/>
  <c r="H46" i="3"/>
  <c r="H63" i="3"/>
  <c r="J93" i="3"/>
  <c r="G75" i="3"/>
  <c r="J94" i="3"/>
  <c r="G95" i="3"/>
  <c r="I79" i="3"/>
  <c r="I96" i="3"/>
  <c r="I92" i="3"/>
  <c r="I75" i="3"/>
  <c r="I78" i="3"/>
  <c r="I95" i="3"/>
  <c r="G93" i="3"/>
  <c r="G76" i="3"/>
  <c r="I91" i="3"/>
  <c r="I74" i="3"/>
  <c r="I93" i="3"/>
  <c r="I76" i="3"/>
  <c r="I94" i="3"/>
  <c r="I77" i="3"/>
  <c r="G77" i="3"/>
  <c r="G94" i="3"/>
  <c r="H79" i="3" l="1"/>
  <c r="K79" i="3"/>
  <c r="I80" i="3"/>
  <c r="D47" i="3"/>
  <c r="C47" i="3"/>
  <c r="J47" i="3"/>
  <c r="G47" i="3"/>
  <c r="D79" i="3"/>
  <c r="C97" i="3"/>
  <c r="J97" i="3"/>
  <c r="F79" i="3"/>
  <c r="J80" i="3"/>
  <c r="I97" i="3"/>
  <c r="J79" i="3"/>
  <c r="E80" i="3"/>
  <c r="E97" i="3"/>
  <c r="G79" i="3"/>
  <c r="G96" i="3"/>
  <c r="D80" i="3"/>
  <c r="D97" i="3"/>
  <c r="I47" i="3"/>
  <c r="H47" i="3"/>
  <c r="C79" i="3"/>
  <c r="C96" i="3"/>
  <c r="F80" i="3"/>
  <c r="F97" i="3"/>
  <c r="L96" i="3"/>
  <c r="E47" i="3"/>
  <c r="I31" i="3"/>
  <c r="G31" i="3"/>
  <c r="J31" i="3"/>
  <c r="K31" i="3"/>
  <c r="C31" i="3"/>
  <c r="D31" i="3"/>
  <c r="L31" i="3"/>
  <c r="F31" i="3"/>
  <c r="H31" i="3"/>
  <c r="B48" i="3"/>
  <c r="B65" i="3" s="1"/>
  <c r="B82" i="3" s="1"/>
  <c r="B99" i="3" s="1"/>
  <c r="M31" i="3"/>
  <c r="B32" i="3"/>
  <c r="E31" i="3"/>
  <c r="L47" i="3"/>
  <c r="G80" i="3"/>
  <c r="G97" i="3"/>
  <c r="K97" i="3"/>
  <c r="K80" i="3"/>
  <c r="F47" i="3"/>
  <c r="B64" i="3"/>
  <c r="D64" i="3" s="1"/>
  <c r="K47" i="3"/>
  <c r="C80" i="3"/>
  <c r="E79" i="3"/>
  <c r="E96" i="3"/>
  <c r="H97" i="3"/>
  <c r="H80" i="3"/>
  <c r="L80" i="3"/>
  <c r="L97" i="3"/>
  <c r="J48" i="3" l="1"/>
  <c r="G65" i="3"/>
  <c r="I65" i="3"/>
  <c r="G48" i="3"/>
  <c r="D81" i="3"/>
  <c r="D98" i="3"/>
  <c r="I48" i="3"/>
  <c r="F48" i="3"/>
  <c r="F65" i="3"/>
  <c r="C64" i="3"/>
  <c r="J65" i="3"/>
  <c r="J82" i="3" s="1"/>
  <c r="H48" i="3"/>
  <c r="H65" i="3"/>
  <c r="L48" i="3"/>
  <c r="L65" i="3"/>
  <c r="D48" i="3"/>
  <c r="D65" i="3"/>
  <c r="I64" i="3"/>
  <c r="I98" i="3" s="1"/>
  <c r="E65" i="3"/>
  <c r="E48" i="3"/>
  <c r="C65" i="3"/>
  <c r="C48" i="3"/>
  <c r="C99" i="3" s="1"/>
  <c r="G64" i="3"/>
  <c r="J64" i="3"/>
  <c r="B81" i="3"/>
  <c r="B98" i="3" s="1"/>
  <c r="H64" i="3"/>
  <c r="H81" i="3" s="1"/>
  <c r="E64" i="3"/>
  <c r="L64" i="3"/>
  <c r="K64" i="3"/>
  <c r="B49" i="3"/>
  <c r="B66" i="3" s="1"/>
  <c r="B83" i="3" s="1"/>
  <c r="B100" i="3" s="1"/>
  <c r="C32" i="3"/>
  <c r="B33" i="3"/>
  <c r="K32" i="3"/>
  <c r="D32" i="3"/>
  <c r="E32" i="3"/>
  <c r="J32" i="3"/>
  <c r="L32" i="3"/>
  <c r="G32" i="3"/>
  <c r="F32" i="3"/>
  <c r="I32" i="3"/>
  <c r="H32" i="3"/>
  <c r="M32" i="3"/>
  <c r="K65" i="3"/>
  <c r="K48" i="3"/>
  <c r="F64" i="3"/>
  <c r="F98" i="3" s="1"/>
  <c r="J99" i="3" l="1"/>
  <c r="G99" i="3"/>
  <c r="I99" i="3"/>
  <c r="I82" i="3"/>
  <c r="I81" i="3"/>
  <c r="F99" i="3"/>
  <c r="H98" i="3"/>
  <c r="G82" i="3"/>
  <c r="C81" i="3"/>
  <c r="C98" i="3"/>
  <c r="L49" i="3"/>
  <c r="L66" i="3"/>
  <c r="K98" i="3"/>
  <c r="K81" i="3"/>
  <c r="C82" i="3"/>
  <c r="F82" i="3"/>
  <c r="E49" i="3"/>
  <c r="E66" i="3"/>
  <c r="E81" i="3"/>
  <c r="E98" i="3"/>
  <c r="F81" i="3"/>
  <c r="F49" i="3"/>
  <c r="F66" i="3"/>
  <c r="C49" i="3"/>
  <c r="C66" i="3"/>
  <c r="K82" i="3"/>
  <c r="K99" i="3"/>
  <c r="L81" i="3"/>
  <c r="L98" i="3"/>
  <c r="E99" i="3"/>
  <c r="E82" i="3"/>
  <c r="D66" i="3"/>
  <c r="D49" i="3"/>
  <c r="G81" i="3"/>
  <c r="G98" i="3"/>
  <c r="G49" i="3"/>
  <c r="G66" i="3"/>
  <c r="J49" i="3"/>
  <c r="J66" i="3"/>
  <c r="L82" i="3"/>
  <c r="L99" i="3"/>
  <c r="H66" i="3"/>
  <c r="H49" i="3"/>
  <c r="K49" i="3"/>
  <c r="K66" i="3"/>
  <c r="H82" i="3"/>
  <c r="H99" i="3"/>
  <c r="I66" i="3"/>
  <c r="I49" i="3"/>
  <c r="D33" i="3"/>
  <c r="I33" i="3"/>
  <c r="G33" i="3"/>
  <c r="M33" i="3"/>
  <c r="E33" i="3"/>
  <c r="L33" i="3"/>
  <c r="B34" i="3"/>
  <c r="B50" i="3"/>
  <c r="B67" i="3" s="1"/>
  <c r="B84" i="3" s="1"/>
  <c r="B101" i="3" s="1"/>
  <c r="J33" i="3"/>
  <c r="F33" i="3"/>
  <c r="C33" i="3"/>
  <c r="K33" i="3"/>
  <c r="H33" i="3"/>
  <c r="J81" i="3"/>
  <c r="J98" i="3"/>
  <c r="D99" i="3"/>
  <c r="D82" i="3"/>
  <c r="L83" i="3" l="1"/>
  <c r="K100" i="3"/>
  <c r="L50" i="3"/>
  <c r="L67" i="3"/>
  <c r="H67" i="3"/>
  <c r="H50" i="3"/>
  <c r="E50" i="3"/>
  <c r="E67" i="3"/>
  <c r="J100" i="3"/>
  <c r="J83" i="3"/>
  <c r="F83" i="3"/>
  <c r="F100" i="3"/>
  <c r="K83" i="3"/>
  <c r="G83" i="3"/>
  <c r="G100" i="3"/>
  <c r="M34" i="3"/>
  <c r="J34" i="3"/>
  <c r="C34" i="3"/>
  <c r="B35" i="3"/>
  <c r="D34" i="3"/>
  <c r="K34" i="3"/>
  <c r="G34" i="3"/>
  <c r="H34" i="3"/>
  <c r="L34" i="3"/>
  <c r="I34" i="3"/>
  <c r="E34" i="3"/>
  <c r="F34" i="3"/>
  <c r="B51" i="3"/>
  <c r="B68" i="3" s="1"/>
  <c r="B85" i="3" s="1"/>
  <c r="B102" i="3" s="1"/>
  <c r="C67" i="3"/>
  <c r="C50" i="3"/>
  <c r="G67" i="3"/>
  <c r="G50" i="3"/>
  <c r="F67" i="3"/>
  <c r="F50" i="3"/>
  <c r="I67" i="3"/>
  <c r="I50" i="3"/>
  <c r="H100" i="3"/>
  <c r="H83" i="3"/>
  <c r="L100" i="3"/>
  <c r="J67" i="3"/>
  <c r="J50" i="3"/>
  <c r="D67" i="3"/>
  <c r="D50" i="3"/>
  <c r="C83" i="3"/>
  <c r="C100" i="3"/>
  <c r="K67" i="3"/>
  <c r="K50" i="3"/>
  <c r="I100" i="3"/>
  <c r="I83" i="3"/>
  <c r="D100" i="3"/>
  <c r="D83" i="3"/>
  <c r="E83" i="3"/>
  <c r="E100" i="3"/>
  <c r="C101" i="3" l="1"/>
  <c r="I68" i="3"/>
  <c r="I51" i="3"/>
  <c r="J51" i="3"/>
  <c r="J68" i="3"/>
  <c r="G101" i="3"/>
  <c r="G84" i="3"/>
  <c r="L51" i="3"/>
  <c r="L68" i="3"/>
  <c r="F84" i="3"/>
  <c r="F101" i="3"/>
  <c r="J101" i="3"/>
  <c r="J84" i="3"/>
  <c r="G68" i="3"/>
  <c r="G51" i="3"/>
  <c r="H101" i="3"/>
  <c r="H84" i="3"/>
  <c r="C68" i="3"/>
  <c r="C51" i="3"/>
  <c r="E84" i="3"/>
  <c r="E101" i="3"/>
  <c r="C84" i="3"/>
  <c r="K51" i="3"/>
  <c r="K68" i="3"/>
  <c r="E51" i="3"/>
  <c r="E68" i="3"/>
  <c r="H68" i="3"/>
  <c r="H51" i="3"/>
  <c r="I101" i="3"/>
  <c r="I84" i="3"/>
  <c r="D68" i="3"/>
  <c r="D51" i="3"/>
  <c r="K84" i="3"/>
  <c r="K101" i="3"/>
  <c r="D84" i="3"/>
  <c r="D101" i="3"/>
  <c r="F68" i="3"/>
  <c r="F51" i="3"/>
  <c r="M35" i="3"/>
  <c r="I35" i="3"/>
  <c r="B36" i="3"/>
  <c r="B52" i="3"/>
  <c r="B69" i="3" s="1"/>
  <c r="B86" i="3" s="1"/>
  <c r="B103" i="3" s="1"/>
  <c r="K35" i="3"/>
  <c r="G35" i="3"/>
  <c r="C35" i="3"/>
  <c r="J35" i="3"/>
  <c r="E35" i="3"/>
  <c r="D35" i="3"/>
  <c r="H35" i="3"/>
  <c r="L35" i="3"/>
  <c r="F35" i="3"/>
  <c r="L84" i="3"/>
  <c r="L101" i="3"/>
  <c r="C102" i="3" l="1"/>
  <c r="E85" i="3"/>
  <c r="E102" i="3"/>
  <c r="D52" i="3"/>
  <c r="D69" i="3"/>
  <c r="L102" i="3"/>
  <c r="L85" i="3"/>
  <c r="E52" i="3"/>
  <c r="E69" i="3"/>
  <c r="K85" i="3"/>
  <c r="K102" i="3"/>
  <c r="G102" i="3"/>
  <c r="G85" i="3"/>
  <c r="J52" i="3"/>
  <c r="J69" i="3"/>
  <c r="F85" i="3"/>
  <c r="F102" i="3"/>
  <c r="M36" i="3"/>
  <c r="B37" i="3"/>
  <c r="I36" i="3"/>
  <c r="F36" i="3"/>
  <c r="D36" i="3"/>
  <c r="J36" i="3"/>
  <c r="H36" i="3"/>
  <c r="B53" i="3"/>
  <c r="B70" i="3" s="1"/>
  <c r="B87" i="3" s="1"/>
  <c r="B104" i="3" s="1"/>
  <c r="K36" i="3"/>
  <c r="E36" i="3"/>
  <c r="C36" i="3"/>
  <c r="L36" i="3"/>
  <c r="G36" i="3"/>
  <c r="C52" i="3"/>
  <c r="C69" i="3"/>
  <c r="D85" i="3"/>
  <c r="D102" i="3"/>
  <c r="G52" i="3"/>
  <c r="G69" i="3"/>
  <c r="H102" i="3"/>
  <c r="H85" i="3"/>
  <c r="J85" i="3"/>
  <c r="J102" i="3"/>
  <c r="H69" i="3"/>
  <c r="H52" i="3"/>
  <c r="I69" i="3"/>
  <c r="I52" i="3"/>
  <c r="K52" i="3"/>
  <c r="K69" i="3"/>
  <c r="I85" i="3"/>
  <c r="I102" i="3"/>
  <c r="F69" i="3"/>
  <c r="F52" i="3"/>
  <c r="L52" i="3"/>
  <c r="L69" i="3"/>
  <c r="C85" i="3"/>
  <c r="C103" i="3" l="1"/>
  <c r="J86" i="3"/>
  <c r="G70" i="3"/>
  <c r="G53" i="3"/>
  <c r="D70" i="3"/>
  <c r="D53" i="3"/>
  <c r="J103" i="3"/>
  <c r="J53" i="3"/>
  <c r="J70" i="3"/>
  <c r="K86" i="3"/>
  <c r="K103" i="3"/>
  <c r="L53" i="3"/>
  <c r="L70" i="3"/>
  <c r="F53" i="3"/>
  <c r="F70" i="3"/>
  <c r="H70" i="3"/>
  <c r="H53" i="3"/>
  <c r="C53" i="3"/>
  <c r="C70" i="3"/>
  <c r="D103" i="3"/>
  <c r="D86" i="3"/>
  <c r="C86" i="3"/>
  <c r="I86" i="3"/>
  <c r="I103" i="3"/>
  <c r="I53" i="3"/>
  <c r="I70" i="3"/>
  <c r="L103" i="3"/>
  <c r="L86" i="3"/>
  <c r="G103" i="3"/>
  <c r="G86" i="3"/>
  <c r="E53" i="3"/>
  <c r="E70" i="3"/>
  <c r="C37" i="3"/>
  <c r="B54" i="3"/>
  <c r="B71" i="3" s="1"/>
  <c r="B88" i="3" s="1"/>
  <c r="B105" i="3" s="1"/>
  <c r="E37" i="3"/>
  <c r="F37" i="3"/>
  <c r="G37" i="3"/>
  <c r="D37" i="3"/>
  <c r="I37" i="3"/>
  <c r="H37" i="3"/>
  <c r="J37" i="3"/>
  <c r="L37" i="3"/>
  <c r="K37" i="3"/>
  <c r="M37" i="3"/>
  <c r="E86" i="3"/>
  <c r="E103" i="3"/>
  <c r="F103" i="3"/>
  <c r="F86" i="3"/>
  <c r="H86" i="3"/>
  <c r="H103" i="3"/>
  <c r="K70" i="3"/>
  <c r="K53" i="3"/>
  <c r="C104" i="3" l="1"/>
  <c r="C71" i="3"/>
  <c r="C54" i="3"/>
  <c r="I104" i="3"/>
  <c r="I87" i="3"/>
  <c r="H54" i="3"/>
  <c r="H71" i="3"/>
  <c r="J104" i="3"/>
  <c r="J87" i="3"/>
  <c r="J71" i="3"/>
  <c r="J54" i="3"/>
  <c r="H87" i="3"/>
  <c r="H104" i="3"/>
  <c r="I54" i="3"/>
  <c r="I71" i="3"/>
  <c r="E104" i="3"/>
  <c r="E87" i="3"/>
  <c r="D54" i="3"/>
  <c r="D71" i="3"/>
  <c r="F87" i="3"/>
  <c r="F104" i="3"/>
  <c r="D87" i="3"/>
  <c r="D104" i="3"/>
  <c r="G71" i="3"/>
  <c r="G54" i="3"/>
  <c r="K104" i="3"/>
  <c r="K87" i="3"/>
  <c r="F54" i="3"/>
  <c r="F71" i="3"/>
  <c r="L87" i="3"/>
  <c r="L104" i="3"/>
  <c r="G104" i="3"/>
  <c r="G87" i="3"/>
  <c r="L54" i="3"/>
  <c r="L71" i="3"/>
  <c r="K54" i="3"/>
  <c r="K71" i="3"/>
  <c r="E54" i="3"/>
  <c r="E71" i="3"/>
  <c r="C87" i="3"/>
  <c r="I105" i="3" l="1"/>
  <c r="I88" i="3"/>
  <c r="H105" i="3"/>
  <c r="H88" i="3"/>
  <c r="E88" i="3"/>
  <c r="E105" i="3"/>
  <c r="K88" i="3"/>
  <c r="K105" i="3"/>
  <c r="F105" i="3"/>
  <c r="F88" i="3"/>
  <c r="G105" i="3"/>
  <c r="G88" i="3"/>
  <c r="J88" i="3"/>
  <c r="J105" i="3"/>
  <c r="C88" i="3"/>
  <c r="C105" i="3"/>
  <c r="L88" i="3"/>
  <c r="L105" i="3"/>
  <c r="D88" i="3"/>
  <c r="D105" i="3"/>
</calcChain>
</file>

<file path=xl/sharedStrings.xml><?xml version="1.0" encoding="utf-8"?>
<sst xmlns="http://schemas.openxmlformats.org/spreadsheetml/2006/main" count="209" uniqueCount="54">
  <si>
    <t>e</t>
  </si>
  <si>
    <t>x</t>
  </si>
  <si>
    <t>y</t>
  </si>
  <si>
    <t>a</t>
  </si>
  <si>
    <t>Vorzeichen</t>
  </si>
  <si>
    <t>p</t>
  </si>
  <si>
    <t>f1</t>
  </si>
  <si>
    <t>k</t>
  </si>
  <si>
    <t>f2</t>
  </si>
  <si>
    <t>c</t>
  </si>
  <si>
    <t>Ast</t>
  </si>
  <si>
    <t>ferner</t>
  </si>
  <si>
    <t>x_f1</t>
  </si>
  <si>
    <t>x_f2</t>
  </si>
  <si>
    <t>eigener</t>
  </si>
  <si>
    <t>p-ec</t>
  </si>
  <si>
    <t>b</t>
  </si>
  <si>
    <t>j1</t>
  </si>
  <si>
    <t>r1</t>
  </si>
  <si>
    <t>r2</t>
  </si>
  <si>
    <t>r</t>
  </si>
  <si>
    <t>R</t>
  </si>
  <si>
    <t>HCR</t>
  </si>
  <si>
    <t>LCR, virtual</t>
  </si>
  <si>
    <t>M</t>
  </si>
  <si>
    <t>phi</t>
  </si>
  <si>
    <t>centerline</t>
  </si>
  <si>
    <t>diag</t>
  </si>
  <si>
    <t>2c</t>
  </si>
  <si>
    <t>quadr</t>
  </si>
  <si>
    <t>q</t>
  </si>
  <si>
    <t>2R/c</t>
  </si>
  <si>
    <t>cos</t>
  </si>
  <si>
    <t>angle</t>
  </si>
  <si>
    <t>angle abs</t>
  </si>
  <si>
    <t>1/(c/2R-cos)</t>
  </si>
  <si>
    <t>c/2R</t>
  </si>
  <si>
    <t>-y</t>
  </si>
  <si>
    <t>p=R</t>
  </si>
  <si>
    <t>Hyp to CHC</t>
  </si>
  <si>
    <t>Mittelsenkrechte schneidet Scheitel</t>
  </si>
  <si>
    <t>D</t>
  </si>
  <si>
    <t>phi2</t>
  </si>
  <si>
    <t>trumpet</t>
  </si>
  <si>
    <t>CHC</t>
  </si>
  <si>
    <t>origin F</t>
  </si>
  <si>
    <t>-r</t>
  </si>
  <si>
    <t>-R</t>
  </si>
  <si>
    <t>D abs</t>
  </si>
  <si>
    <t>x'</t>
  </si>
  <si>
    <t>y'</t>
  </si>
  <si>
    <t>den</t>
  </si>
  <si>
    <t>L</t>
  </si>
  <si>
    <t>gamma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</si>
</sst>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\°"/>
    <numFmt numFmtId="165" formatCode="0.000"/>
    <numFmt numFmtId="166" formatCode="0.0"/>
    <numFmt numFmtId="167" formatCode="0.0\°"/>
  </numFmts>
  <fonts count="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Symbol"/>
      <family val="1"/>
      <charset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59999389629810485"/>
        <bgColor indexed="65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2" borderId="0" xfId="1" applyAlignment="1">
      <alignment horizontal="center"/>
    </xf>
    <xf numFmtId="166" fontId="1" fillId="2" borderId="0" xfId="1" applyNumberFormat="1" applyAlignment="1">
      <alignment horizontal="center"/>
    </xf>
    <xf numFmtId="165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6" fontId="3" fillId="3" borderId="0" xfId="2" applyNumberFormat="1" applyAlignment="1">
      <alignment horizontal="center"/>
    </xf>
    <xf numFmtId="167" fontId="3" fillId="3" borderId="0" xfId="2" applyNumberFormat="1" applyAlignment="1">
      <alignment horizontal="center"/>
    </xf>
    <xf numFmtId="165" fontId="3" fillId="3" borderId="0" xfId="2" applyNumberFormat="1" applyAlignment="1">
      <alignment horizontal="center"/>
    </xf>
    <xf numFmtId="0" fontId="0" fillId="0" borderId="0" xfId="0" quotePrefix="1" applyAlignment="1">
      <alignment horizontal="center"/>
    </xf>
    <xf numFmtId="167" fontId="0" fillId="0" borderId="0" xfId="0" applyNumberFormat="1" applyAlignment="1">
      <alignment horizontal="center"/>
    </xf>
    <xf numFmtId="2" fontId="0" fillId="0" borderId="0" xfId="0" quotePrefix="1" applyNumberFormat="1" applyAlignment="1">
      <alignment horizontal="center"/>
    </xf>
    <xf numFmtId="0" fontId="4" fillId="0" borderId="0" xfId="0" applyFont="1" applyAlignment="1">
      <alignment horizontal="center"/>
    </xf>
    <xf numFmtId="166" fontId="4" fillId="0" borderId="0" xfId="0" applyNumberFormat="1" applyFont="1" applyAlignment="1">
      <alignment horizontal="center"/>
    </xf>
    <xf numFmtId="167" fontId="1" fillId="2" borderId="0" xfId="1" applyNumberFormat="1" applyAlignment="1">
      <alignment horizontal="center"/>
    </xf>
  </cellXfs>
  <cellStyles count="3">
    <cellStyle name="40% - Accent1" xfId="2" builtinId="31"/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1"/>
          <c:order val="0"/>
          <c:tx>
            <c:strRef>
              <c:f>Hyp_to_CHC!$D$7</c:f>
              <c:strCache>
                <c:ptCount val="1"/>
                <c:pt idx="0">
                  <c:v>4.0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Hyp_to_CHC!$D$81:$D$88</c:f>
              <c:numCache>
                <c:formatCode>0.00</c:formatCode>
                <c:ptCount val="8"/>
                <c:pt idx="0" formatCode="0.0">
                  <c:v>3.4910350875860807E-4</c:v>
                </c:pt>
                <c:pt idx="1">
                  <c:v>0.24204819765775132</c:v>
                </c:pt>
                <c:pt idx="2">
                  <c:v>0.52606584357008568</c:v>
                </c:pt>
                <c:pt idx="3">
                  <c:v>0.86863412165864218</c:v>
                </c:pt>
                <c:pt idx="4">
                  <c:v>1.2951122297053552</c:v>
                </c:pt>
                <c:pt idx="5">
                  <c:v>1.8475669121031686</c:v>
                </c:pt>
                <c:pt idx="6">
                  <c:v>2.6013957096294096</c:v>
                </c:pt>
                <c:pt idx="7">
                  <c:v>3.7067120803950595</c:v>
                </c:pt>
              </c:numCache>
            </c:numRef>
          </c:xVal>
          <c:yVal>
            <c:numRef>
              <c:f>Hyp_to_CHC!$D$98:$D$105</c:f>
              <c:numCache>
                <c:formatCode>0.00</c:formatCode>
                <c:ptCount val="8"/>
                <c:pt idx="0" formatCode="0.0">
                  <c:v>1.0002157461974002</c:v>
                </c:pt>
                <c:pt idx="1">
                  <c:v>1.1443926475561499</c:v>
                </c:pt>
                <c:pt idx="2">
                  <c:v>1.3024633212980561</c:v>
                </c:pt>
                <c:pt idx="3">
                  <c:v>1.4804296837699873</c:v>
                </c:pt>
                <c:pt idx="4">
                  <c:v>1.6874425003240927</c:v>
                </c:pt>
                <c:pt idx="5">
                  <c:v>1.9384339027608268</c:v>
                </c:pt>
                <c:pt idx="6">
                  <c:v>2.2598788694844489</c:v>
                </c:pt>
                <c:pt idx="7">
                  <c:v>2.7041252100690274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59A9-44D1-8E64-A7BE4A78958B}"/>
            </c:ext>
          </c:extLst>
        </c:ser>
        <c:ser>
          <c:idx val="5"/>
          <c:order val="1"/>
          <c:tx>
            <c:strRef>
              <c:f>Hyp_to_CHC!$D$7</c:f>
              <c:strCache>
                <c:ptCount val="1"/>
                <c:pt idx="0">
                  <c:v>4.0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(Hyp_to_CHC!$D$17,Hyp_to_CHC!$D$17)</c:f>
              <c:numCache>
                <c:formatCode>0.0</c:formatCode>
                <c:ptCount val="2"/>
                <c:pt idx="0">
                  <c:v>-4</c:v>
                </c:pt>
                <c:pt idx="1">
                  <c:v>-4</c:v>
                </c:pt>
              </c:numCache>
            </c:numRef>
          </c:xVal>
          <c:yVal>
            <c:numRef>
              <c:f>(Hyp_to_CHC!$D$4,Hyp_to_CHC!$D$3)</c:f>
              <c:numCache>
                <c:formatCode>0.0</c:formatCode>
                <c:ptCount val="2"/>
                <c:pt idx="0">
                  <c:v>-3</c:v>
                </c:pt>
                <c:pt idx="1">
                  <c:v>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9A9-44D1-8E64-A7BE4A78958B}"/>
            </c:ext>
          </c:extLst>
        </c:ser>
        <c:ser>
          <c:idx val="0"/>
          <c:order val="2"/>
          <c:tx>
            <c:strRef>
              <c:f>Hyp_to_CHC!$C$7</c:f>
              <c:strCache>
                <c:ptCount val="1"/>
                <c:pt idx="0">
                  <c:v>4.5</c:v>
                </c:pt>
              </c:strCache>
            </c:strRef>
          </c:tx>
          <c:spPr>
            <a:ln w="38100" cap="rnd">
              <a:solidFill>
                <a:srgbClr val="FFC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C000"/>
              </a:solidFill>
              <a:ln w="9525">
                <a:solidFill>
                  <a:srgbClr val="FFC000"/>
                </a:solidFill>
              </a:ln>
              <a:effectLst/>
            </c:spPr>
          </c:marker>
          <c:dPt>
            <c:idx val="1"/>
            <c:marker>
              <c:symbol val="circle"/>
              <c:size val="5"/>
              <c:spPr>
                <a:solidFill>
                  <a:srgbClr val="FFC000"/>
                </a:solidFill>
                <a:ln w="9525">
                  <a:solidFill>
                    <a:srgbClr val="FFC000"/>
                  </a:solidFill>
                </a:ln>
                <a:effectLst/>
              </c:spPr>
            </c:marker>
            <c:bubble3D val="0"/>
            <c:spPr>
              <a:ln w="38100" cap="rnd">
                <a:solidFill>
                  <a:srgbClr val="FFC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B-59A9-44D1-8E64-A7BE4A78958B}"/>
              </c:ext>
            </c:extLst>
          </c:dPt>
          <c:xVal>
            <c:numRef>
              <c:f>(Hyp_to_CHC!$D$18,Hyp_to_CHC!$D$18)</c:f>
              <c:numCache>
                <c:formatCode>0.0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(Hyp_to_CHC!$D$6,Hyp_to_CHC!$D$5)</c:f>
              <c:numCache>
                <c:formatCode>0.0</c:formatCode>
                <c:ptCount val="2"/>
                <c:pt idx="0">
                  <c:v>-1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59A9-44D1-8E64-A7BE4A78958B}"/>
            </c:ext>
          </c:extLst>
        </c:ser>
        <c:ser>
          <c:idx val="2"/>
          <c:order val="3"/>
          <c:tx>
            <c:strRef>
              <c:f>Hyp_to_CHC!$H$7</c:f>
              <c:strCache>
                <c:ptCount val="1"/>
                <c:pt idx="0">
                  <c:v>2.0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(Hyp_to_CHC!$H$17,Hyp_to_CHC!$H$17)</c:f>
              <c:numCache>
                <c:formatCode>0.0</c:formatCode>
                <c:ptCount val="2"/>
                <c:pt idx="0">
                  <c:v>-2</c:v>
                </c:pt>
                <c:pt idx="1">
                  <c:v>-2</c:v>
                </c:pt>
              </c:numCache>
            </c:numRef>
          </c:xVal>
          <c:yVal>
            <c:numRef>
              <c:f>(Hyp_to_CHC!$H$4,Hyp_to_CHC!$H$3)</c:f>
              <c:numCache>
                <c:formatCode>0.0</c:formatCode>
                <c:ptCount val="2"/>
                <c:pt idx="0">
                  <c:v>-3</c:v>
                </c:pt>
                <c:pt idx="1">
                  <c:v>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59A9-44D1-8E64-A7BE4A78958B}"/>
            </c:ext>
          </c:extLst>
        </c:ser>
        <c:ser>
          <c:idx val="3"/>
          <c:order val="4"/>
          <c:tx>
            <c:strRef>
              <c:f>Hyp_to_CHC!$H$7</c:f>
              <c:strCache>
                <c:ptCount val="1"/>
                <c:pt idx="0">
                  <c:v>2.0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Hyp_to_CHC!$H$78:$H$85</c:f>
              <c:numCache>
                <c:formatCode>0.00</c:formatCode>
                <c:ptCount val="8"/>
                <c:pt idx="0">
                  <c:v>-2.932030591067003E-2</c:v>
                </c:pt>
                <c:pt idx="1">
                  <c:v>0.20365344167107946</c:v>
                </c:pt>
                <c:pt idx="2">
                  <c:v>0.46485207796839634</c:v>
                </c:pt>
                <c:pt idx="3">
                  <c:v>0.7657261485751149</c:v>
                </c:pt>
                <c:pt idx="4">
                  <c:v>1.1233360200585736</c:v>
                </c:pt>
                <c:pt idx="5">
                  <c:v>1.5646379785148876</c:v>
                </c:pt>
                <c:pt idx="6">
                  <c:v>2.1352939969586577</c:v>
                </c:pt>
                <c:pt idx="7">
                  <c:v>2.9198109639994327</c:v>
                </c:pt>
              </c:numCache>
            </c:numRef>
          </c:xVal>
          <c:yVal>
            <c:numRef>
              <c:f>Hyp_to_CHC!$H$95:$H$102</c:f>
              <c:numCache>
                <c:formatCode>0.00</c:formatCode>
                <c:ptCount val="8"/>
                <c:pt idx="0">
                  <c:v>0.9878180332215567</c:v>
                </c:pt>
                <c:pt idx="1">
                  <c:v>1.0826516980553493</c:v>
                </c:pt>
                <c:pt idx="2">
                  <c:v>1.1841548215083222</c:v>
                </c:pt>
                <c:pt idx="3">
                  <c:v>1.2958427008600331</c:v>
                </c:pt>
                <c:pt idx="4">
                  <c:v>1.4227935277174577</c:v>
                </c:pt>
                <c:pt idx="5">
                  <c:v>1.5728767477078103</c:v>
                </c:pt>
                <c:pt idx="6">
                  <c:v>1.7592674801531203</c:v>
                </c:pt>
                <c:pt idx="7">
                  <c:v>2.0061848687286492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59A9-44D1-8E64-A7BE4A78958B}"/>
            </c:ext>
          </c:extLst>
        </c:ser>
        <c:ser>
          <c:idx val="4"/>
          <c:order val="5"/>
          <c:tx>
            <c:strRef>
              <c:f>Hyp_to_CHC!$K$7</c:f>
              <c:strCache>
                <c:ptCount val="1"/>
                <c:pt idx="0">
                  <c:v>0.5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(Hyp_to_CHC!$K$17,Hyp_to_CHC!$K$17)</c:f>
              <c:numCache>
                <c:formatCode>0.0</c:formatCode>
                <c:ptCount val="2"/>
                <c:pt idx="0">
                  <c:v>-0.5</c:v>
                </c:pt>
                <c:pt idx="1">
                  <c:v>-0.5</c:v>
                </c:pt>
              </c:numCache>
            </c:numRef>
          </c:xVal>
          <c:yVal>
            <c:numRef>
              <c:f>(Hyp_to_CHC!$K$4,Hyp_to_CHC!$K$3)</c:f>
              <c:numCache>
                <c:formatCode>0.0</c:formatCode>
                <c:ptCount val="2"/>
                <c:pt idx="0">
                  <c:v>-3</c:v>
                </c:pt>
                <c:pt idx="1">
                  <c:v>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59A9-44D1-8E64-A7BE4A78958B}"/>
            </c:ext>
          </c:extLst>
        </c:ser>
        <c:ser>
          <c:idx val="6"/>
          <c:order val="6"/>
          <c:tx>
            <c:strRef>
              <c:f>Hyp_to_CHC!$L$7</c:f>
              <c:strCache>
                <c:ptCount val="1"/>
                <c:pt idx="0">
                  <c:v>0.1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Hyp_to_CHC!$K$74:$K$79</c:f>
              <c:numCache>
                <c:formatCode>0.00</c:formatCode>
                <c:ptCount val="6"/>
                <c:pt idx="0" formatCode="0.0">
                  <c:v>-0.24618265660001876</c:v>
                </c:pt>
                <c:pt idx="1">
                  <c:v>-2.422563210706602E-2</c:v>
                </c:pt>
                <c:pt idx="2">
                  <c:v>0.20335866042869244</c:v>
                </c:pt>
                <c:pt idx="3">
                  <c:v>0.44273094315507117</c:v>
                </c:pt>
                <c:pt idx="4">
                  <c:v>0.70134192215131541</c:v>
                </c:pt>
                <c:pt idx="5">
                  <c:v>0.98896051265068841</c:v>
                </c:pt>
              </c:numCache>
            </c:numRef>
          </c:xVal>
          <c:yVal>
            <c:numRef>
              <c:f>Hyp_to_CHC!$K$91:$K$96</c:f>
              <c:numCache>
                <c:formatCode>0.00</c:formatCode>
                <c:ptCount val="6"/>
                <c:pt idx="0">
                  <c:v>0.96946125280015005</c:v>
                </c:pt>
                <c:pt idx="1">
                  <c:v>0.99701546161669419</c:v>
                </c:pt>
                <c:pt idx="2">
                  <c:v>1.0248802258523271</c:v>
                </c:pt>
                <c:pt idx="3">
                  <c:v>1.0537876955585084</c:v>
                </c:pt>
                <c:pt idx="4">
                  <c:v>1.0845990756453783</c:v>
                </c:pt>
                <c:pt idx="5">
                  <c:v>1.118420482934039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59A9-44D1-8E64-A7BE4A78958B}"/>
            </c:ext>
          </c:extLst>
        </c:ser>
        <c:ser>
          <c:idx val="7"/>
          <c:order val="7"/>
          <c:tx>
            <c:strRef>
              <c:f>Hyp_to_CHC!$M$2</c:f>
              <c:strCache>
                <c:ptCount val="1"/>
                <c:pt idx="0">
                  <c:v>trumpet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Hyp_to_CHC!$M$57:$M$71</c:f>
              <c:numCache>
                <c:formatCode>0.00</c:formatCode>
                <c:ptCount val="15"/>
                <c:pt idx="0" formatCode="0.0">
                  <c:v>0</c:v>
                </c:pt>
                <c:pt idx="1">
                  <c:v>0.90553851381374195</c:v>
                </c:pt>
                <c:pt idx="2">
                  <c:v>1.2961481396815728</c:v>
                </c:pt>
                <c:pt idx="3">
                  <c:v>1.6062378404209008</c:v>
                </c:pt>
                <c:pt idx="4">
                  <c:v>1.8761663039293719</c:v>
                </c:pt>
                <c:pt idx="5">
                  <c:v>2.3494680248941466</c:v>
                </c:pt>
                <c:pt idx="6">
                  <c:v>2.7712812921102032</c:v>
                </c:pt>
                <c:pt idx="7">
                  <c:v>3.1622776601683795</c:v>
                </c:pt>
                <c:pt idx="8">
                  <c:v>3.5327043465311396</c:v>
                </c:pt>
                <c:pt idx="9">
                  <c:v>3.888444419044716</c:v>
                </c:pt>
                <c:pt idx="10">
                  <c:v>4.2332020977033453</c:v>
                </c:pt>
                <c:pt idx="11">
                  <c:v>4.5694638635183447</c:v>
                </c:pt>
                <c:pt idx="12">
                  <c:v>4.8989794855663567</c:v>
                </c:pt>
                <c:pt idx="13">
                  <c:v>5.2230259428802386</c:v>
                </c:pt>
                <c:pt idx="14">
                  <c:v>5.5425625842204083</c:v>
                </c:pt>
              </c:numCache>
            </c:numRef>
          </c:xVal>
          <c:yVal>
            <c:numRef>
              <c:f>Hyp_to_CHC!$M$40:$M$54</c:f>
              <c:numCache>
                <c:formatCode>0.00</c:formatCode>
                <c:ptCount val="15"/>
                <c:pt idx="0" formatCode="0.0">
                  <c:v>1</c:v>
                </c:pt>
                <c:pt idx="1">
                  <c:v>1.05</c:v>
                </c:pt>
                <c:pt idx="2">
                  <c:v>1.1000000000000001</c:v>
                </c:pt>
                <c:pt idx="3">
                  <c:v>1.1499999999999999</c:v>
                </c:pt>
                <c:pt idx="4">
                  <c:v>1.2</c:v>
                </c:pt>
                <c:pt idx="5">
                  <c:v>1.3</c:v>
                </c:pt>
                <c:pt idx="6">
                  <c:v>1.4</c:v>
                </c:pt>
                <c:pt idx="7">
                  <c:v>1.5</c:v>
                </c:pt>
                <c:pt idx="8">
                  <c:v>1.6</c:v>
                </c:pt>
                <c:pt idx="9">
                  <c:v>1.7</c:v>
                </c:pt>
                <c:pt idx="10">
                  <c:v>1.8</c:v>
                </c:pt>
                <c:pt idx="11">
                  <c:v>1.9</c:v>
                </c:pt>
                <c:pt idx="12">
                  <c:v>2</c:v>
                </c:pt>
                <c:pt idx="13">
                  <c:v>2.1</c:v>
                </c:pt>
                <c:pt idx="14">
                  <c:v>2.2000000000000002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59A9-44D1-8E64-A7BE4A7895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4678623"/>
        <c:axId val="1304689439"/>
      </c:scatterChart>
      <c:valAx>
        <c:axId val="1304678623"/>
        <c:scaling>
          <c:orientation val="minMax"/>
          <c:max val="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3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304689439"/>
        <c:crosses val="autoZero"/>
        <c:crossBetween val="midCat"/>
      </c:valAx>
      <c:valAx>
        <c:axId val="1304689439"/>
        <c:scaling>
          <c:orientation val="minMax"/>
          <c:max val="3"/>
          <c:min val="-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3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30467862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Hyperbola!$F$5:$F$41</c:f>
              <c:numCache>
                <c:formatCode>0.00</c:formatCode>
                <c:ptCount val="37"/>
                <c:pt idx="0" formatCode="0.0">
                  <c:v>-5066549580791809</c:v>
                </c:pt>
                <c:pt idx="1">
                  <c:v>-7.8711610371260141</c:v>
                </c:pt>
                <c:pt idx="2">
                  <c:v>-4.197199994035401</c:v>
                </c:pt>
                <c:pt idx="3">
                  <c:v>-2.9999999999999996</c:v>
                </c:pt>
                <c:pt idx="4">
                  <c:v>-2.420011197679258</c:v>
                </c:pt>
                <c:pt idx="5">
                  <c:v>-2.0860725499471604</c:v>
                </c:pt>
                <c:pt idx="6">
                  <c:v>-1.8749999999999998</c:v>
                </c:pt>
                <c:pt idx="7">
                  <c:v>-1.7344348945195349</c:v>
                </c:pt>
                <c:pt idx="8">
                  <c:v>-1.6385943981780715</c:v>
                </c:pt>
                <c:pt idx="9">
                  <c:v>-1.573557158514987</c:v>
                </c:pt>
                <c:pt idx="10">
                  <c:v>-1.5314167995011865</c:v>
                </c:pt>
                <c:pt idx="11">
                  <c:v>-1.5076738454643228</c:v>
                </c:pt>
                <c:pt idx="12">
                  <c:v>-1.5</c:v>
                </c:pt>
                <c:pt idx="13">
                  <c:v>-1.5076738454643228</c:v>
                </c:pt>
                <c:pt idx="14">
                  <c:v>-1.5314167995011865</c:v>
                </c:pt>
                <c:pt idx="15">
                  <c:v>-1.573557158514987</c:v>
                </c:pt>
                <c:pt idx="16">
                  <c:v>-1.6385943981780715</c:v>
                </c:pt>
                <c:pt idx="17">
                  <c:v>-1.7344348945195349</c:v>
                </c:pt>
                <c:pt idx="18">
                  <c:v>-1.8749999999999998</c:v>
                </c:pt>
                <c:pt idx="19">
                  <c:v>-2.0860725499471604</c:v>
                </c:pt>
                <c:pt idx="20">
                  <c:v>-2.420011197679258</c:v>
                </c:pt>
                <c:pt idx="21">
                  <c:v>-2.9999999999999996</c:v>
                </c:pt>
                <c:pt idx="22">
                  <c:v>-4.197199994035401</c:v>
                </c:pt>
                <c:pt idx="23">
                  <c:v>-7.8711610371260141</c:v>
                </c:pt>
                <c:pt idx="24">
                  <c:v>-5066549580791809</c:v>
                </c:pt>
              </c:numCache>
            </c:numRef>
          </c:xVal>
          <c:yVal>
            <c:numRef>
              <c:f>Hyperbola!$G$5:$G$41</c:f>
              <c:numCache>
                <c:formatCode>0.00</c:formatCode>
                <c:ptCount val="37"/>
                <c:pt idx="0" formatCode="0.0">
                  <c:v>-8775521292998208</c:v>
                </c:pt>
                <c:pt idx="1">
                  <c:v>-13.383404956030883</c:v>
                </c:pt>
                <c:pt idx="2">
                  <c:v>-6.7896585606193991</c:v>
                </c:pt>
                <c:pt idx="3">
                  <c:v>-4.4999999999999991</c:v>
                </c:pt>
                <c:pt idx="4">
                  <c:v>-3.2892799501834729</c:v>
                </c:pt>
                <c:pt idx="5">
                  <c:v>-2.5109950320399177</c:v>
                </c:pt>
                <c:pt idx="6">
                  <c:v>-1.9485571585149868</c:v>
                </c:pt>
                <c:pt idx="7">
                  <c:v>-1.5082417611182144</c:v>
                </c:pt>
                <c:pt idx="8">
                  <c:v>-1.1423549383714631</c:v>
                </c:pt>
                <c:pt idx="9">
                  <c:v>-0.82355715851498679</c:v>
                </c:pt>
                <c:pt idx="10">
                  <c:v>-0.53452057152496235</c:v>
                </c:pt>
                <c:pt idx="11">
                  <c:v>-0.26313736506155005</c:v>
                </c:pt>
                <c:pt idx="12">
                  <c:v>0</c:v>
                </c:pt>
                <c:pt idx="13">
                  <c:v>0.26313736506155005</c:v>
                </c:pt>
                <c:pt idx="14">
                  <c:v>0.53452057152496235</c:v>
                </c:pt>
                <c:pt idx="15">
                  <c:v>0.82355715851498679</c:v>
                </c:pt>
                <c:pt idx="16">
                  <c:v>1.1423549383714631</c:v>
                </c:pt>
                <c:pt idx="17">
                  <c:v>1.5082417611182144</c:v>
                </c:pt>
                <c:pt idx="18">
                  <c:v>1.9485571585149868</c:v>
                </c:pt>
                <c:pt idx="19">
                  <c:v>2.5109950320399177</c:v>
                </c:pt>
                <c:pt idx="20">
                  <c:v>3.2892799501834729</c:v>
                </c:pt>
                <c:pt idx="21">
                  <c:v>4.4999999999999991</c:v>
                </c:pt>
                <c:pt idx="22">
                  <c:v>6.7896585606193991</c:v>
                </c:pt>
                <c:pt idx="23">
                  <c:v>13.383404956030883</c:v>
                </c:pt>
                <c:pt idx="24">
                  <c:v>8775521292998208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A3A-4045-90C4-586469BBC68B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Hyperbola!$K$5:$K$35</c:f>
              <c:numCache>
                <c:formatCode>0.00</c:formatCode>
                <c:ptCount val="31"/>
                <c:pt idx="0">
                  <c:v>3.4786167935365881</c:v>
                </c:pt>
                <c:pt idx="1">
                  <c:v>2.8905764746872631</c:v>
                </c:pt>
                <c:pt idx="2">
                  <c:v>2.4823118914415279</c:v>
                </c:pt>
                <c:pt idx="3">
                  <c:v>2.187738795016883</c:v>
                </c:pt>
                <c:pt idx="4">
                  <c:v>1.970378084704441</c:v>
                </c:pt>
                <c:pt idx="5">
                  <c:v>1.8086055958573288</c:v>
                </c:pt>
                <c:pt idx="6">
                  <c:v>1.6889625453539452</c:v>
                </c:pt>
                <c:pt idx="7">
                  <c:v>1.6028299593545592</c:v>
                </c:pt>
                <c:pt idx="8">
                  <c:v>1.5446630052568429</c:v>
                </c:pt>
                <c:pt idx="9">
                  <c:v>1.5110154399469451</c:v>
                </c:pt>
                <c:pt idx="10">
                  <c:v>1.5</c:v>
                </c:pt>
                <c:pt idx="11">
                  <c:v>1.5110154399469451</c:v>
                </c:pt>
                <c:pt idx="12">
                  <c:v>1.5446630052568429</c:v>
                </c:pt>
                <c:pt idx="13">
                  <c:v>1.6028299593545592</c:v>
                </c:pt>
                <c:pt idx="14">
                  <c:v>1.6889625453539452</c:v>
                </c:pt>
                <c:pt idx="15">
                  <c:v>1.8086055958573288</c:v>
                </c:pt>
                <c:pt idx="16">
                  <c:v>1.970378084704441</c:v>
                </c:pt>
                <c:pt idx="17">
                  <c:v>2.187738795016883</c:v>
                </c:pt>
                <c:pt idx="18">
                  <c:v>2.4823118914415279</c:v>
                </c:pt>
                <c:pt idx="19">
                  <c:v>2.8905764746872631</c:v>
                </c:pt>
                <c:pt idx="20">
                  <c:v>3.4786167935365881</c:v>
                </c:pt>
              </c:numCache>
            </c:numRef>
          </c:xVal>
          <c:yVal>
            <c:numRef>
              <c:f>Hyperbola!$L$5:$L$35</c:f>
              <c:numCache>
                <c:formatCode>0.00</c:formatCode>
                <c:ptCount val="31"/>
                <c:pt idx="0">
                  <c:v>-5.4362049619954833</c:v>
                </c:pt>
                <c:pt idx="1">
                  <c:v>-4.2797543233281905</c:v>
                </c:pt>
                <c:pt idx="2">
                  <c:v>-3.4257286785698668</c:v>
                </c:pt>
                <c:pt idx="3">
                  <c:v>-2.7583696463066314</c:v>
                </c:pt>
                <c:pt idx="4">
                  <c:v>-2.2129549001393185</c:v>
                </c:pt>
                <c:pt idx="5">
                  <c:v>-1.7501893052179636</c:v>
                </c:pt>
                <c:pt idx="6">
                  <c:v>-1.344538373876119</c:v>
                </c:pt>
                <c:pt idx="7">
                  <c:v>-0.97836171011217277</c:v>
                </c:pt>
                <c:pt idx="8">
                  <c:v>-0.6387107321998754</c:v>
                </c:pt>
                <c:pt idx="9">
                  <c:v>-0.31544092834344195</c:v>
                </c:pt>
                <c:pt idx="10">
                  <c:v>0</c:v>
                </c:pt>
                <c:pt idx="11">
                  <c:v>0.31544092834344195</c:v>
                </c:pt>
                <c:pt idx="12">
                  <c:v>0.6387107321998754</c:v>
                </c:pt>
                <c:pt idx="13">
                  <c:v>0.97836171011217277</c:v>
                </c:pt>
                <c:pt idx="14">
                  <c:v>1.344538373876119</c:v>
                </c:pt>
                <c:pt idx="15">
                  <c:v>1.7501893052179636</c:v>
                </c:pt>
                <c:pt idx="16">
                  <c:v>2.2129549001393185</c:v>
                </c:pt>
                <c:pt idx="17">
                  <c:v>2.7583696463066314</c:v>
                </c:pt>
                <c:pt idx="18">
                  <c:v>3.4257286785698668</c:v>
                </c:pt>
                <c:pt idx="19">
                  <c:v>4.2797543233281905</c:v>
                </c:pt>
                <c:pt idx="20">
                  <c:v>5.4362049619954833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A3A-4045-90C4-586469BBC68B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Hyperbola!$B$14</c:f>
              <c:numCache>
                <c:formatCode>0.000</c:formatCode>
                <c:ptCount val="1"/>
                <c:pt idx="0">
                  <c:v>-3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9A3A-4045-90C4-586469BBC68B}"/>
            </c:ext>
          </c:extLst>
        </c:ser>
        <c:ser>
          <c:idx val="3"/>
          <c:order val="3"/>
          <c:tx>
            <c:strRef>
              <c:f>Hyperbola!$A$14</c:f>
              <c:strCache>
                <c:ptCount val="1"/>
                <c:pt idx="0">
                  <c:v>x_f1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Hyperbola!$B$14</c:f>
              <c:numCache>
                <c:formatCode>0.000</c:formatCode>
                <c:ptCount val="1"/>
                <c:pt idx="0">
                  <c:v>-3</c:v>
                </c:pt>
              </c:numCache>
            </c:numRef>
          </c:xVal>
          <c:yVal>
            <c:numRef>
              <c:f>Hyperbola!$B$13</c:f>
              <c:numCache>
                <c:formatCode>0.0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355-43E4-ABE9-19C8AF21346A}"/>
            </c:ext>
          </c:extLst>
        </c:ser>
        <c:ser>
          <c:idx val="4"/>
          <c:order val="4"/>
          <c:tx>
            <c:strRef>
              <c:f>Hyperbola!$A$15</c:f>
              <c:strCache>
                <c:ptCount val="1"/>
                <c:pt idx="0">
                  <c:v>x_f2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Hyperbola!$B$15</c:f>
              <c:numCache>
                <c:formatCode>0.000</c:formatCode>
                <c:ptCount val="1"/>
                <c:pt idx="0">
                  <c:v>3</c:v>
                </c:pt>
              </c:numCache>
            </c:numRef>
          </c:xVal>
          <c:yVal>
            <c:numRef>
              <c:f>Hyperbola!$B$13</c:f>
              <c:numCache>
                <c:formatCode>0.0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355-43E4-ABE9-19C8AF2134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2301136"/>
        <c:axId val="352301528"/>
      </c:scatterChart>
      <c:valAx>
        <c:axId val="352301136"/>
        <c:scaling>
          <c:orientation val="minMax"/>
          <c:max val="4"/>
          <c:min val="-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52301528"/>
        <c:crosses val="autoZero"/>
        <c:crossBetween val="midCat"/>
      </c:valAx>
      <c:valAx>
        <c:axId val="352301528"/>
        <c:scaling>
          <c:orientation val="minMax"/>
          <c:max val="4"/>
          <c:min val="-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52301136"/>
        <c:crosses val="autoZero"/>
        <c:crossBetween val="midCat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'Hyperbola (2)'!$F$17:$F$27</c:f>
              <c:numCache>
                <c:formatCode>0.00</c:formatCode>
                <c:ptCount val="11"/>
                <c:pt idx="0">
                  <c:v>-1</c:v>
                </c:pt>
                <c:pt idx="1">
                  <c:v>-1.0051158969762155</c:v>
                </c:pt>
                <c:pt idx="2">
                  <c:v>-1.0209445330007911</c:v>
                </c:pt>
                <c:pt idx="3">
                  <c:v>-1.0490381056766582</c:v>
                </c:pt>
                <c:pt idx="4">
                  <c:v>-1.0923962654520478</c:v>
                </c:pt>
                <c:pt idx="5">
                  <c:v>-1.1562899296796902</c:v>
                </c:pt>
                <c:pt idx="6">
                  <c:v>-1.25</c:v>
                </c:pt>
                <c:pt idx="7">
                  <c:v>-1.3907150332981071</c:v>
                </c:pt>
                <c:pt idx="8">
                  <c:v>-1.6133407984528387</c:v>
                </c:pt>
                <c:pt idx="9">
                  <c:v>-1.9999999999999998</c:v>
                </c:pt>
                <c:pt idx="10">
                  <c:v>-2.7981333293569337</c:v>
                </c:pt>
              </c:numCache>
            </c:numRef>
          </c:xVal>
          <c:yVal>
            <c:numRef>
              <c:f>'Hyperbola (2)'!$G$17:$G$27</c:f>
              <c:numCache>
                <c:formatCode>0.00</c:formatCode>
                <c:ptCount val="11"/>
                <c:pt idx="0">
                  <c:v>0</c:v>
                </c:pt>
                <c:pt idx="1">
                  <c:v>0.17542491004103333</c:v>
                </c:pt>
                <c:pt idx="2">
                  <c:v>0.3563470476833081</c:v>
                </c:pt>
                <c:pt idx="3">
                  <c:v>0.54903810567665767</c:v>
                </c:pt>
                <c:pt idx="4">
                  <c:v>0.76156995891430868</c:v>
                </c:pt>
                <c:pt idx="5">
                  <c:v>1.0054945074121429</c:v>
                </c:pt>
                <c:pt idx="6">
                  <c:v>1.2990381056766578</c:v>
                </c:pt>
                <c:pt idx="7">
                  <c:v>1.6739966880266113</c:v>
                </c:pt>
                <c:pt idx="8">
                  <c:v>2.1928533001223149</c:v>
                </c:pt>
                <c:pt idx="9">
                  <c:v>2.9999999999999991</c:v>
                </c:pt>
                <c:pt idx="10">
                  <c:v>4.5264390404129324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BAA-400A-A075-5205DEB3E4A6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'Hyperbola (2)'!$K$15:$K$35</c:f>
              <c:numCache>
                <c:formatCode>0.00</c:formatCode>
                <c:ptCount val="21"/>
                <c:pt idx="0">
                  <c:v>0.99999999999999956</c:v>
                </c:pt>
                <c:pt idx="1">
                  <c:v>1.0073436266312958</c:v>
                </c:pt>
                <c:pt idx="2">
                  <c:v>1.0297753368378944</c:v>
                </c:pt>
                <c:pt idx="3">
                  <c:v>1.0685533062363723</c:v>
                </c:pt>
                <c:pt idx="4">
                  <c:v>1.125975030235963</c:v>
                </c:pt>
                <c:pt idx="5">
                  <c:v>1.2057370639048854</c:v>
                </c:pt>
                <c:pt idx="6">
                  <c:v>1.3135853898029604</c:v>
                </c:pt>
                <c:pt idx="7">
                  <c:v>1.458492530011255</c:v>
                </c:pt>
                <c:pt idx="8">
                  <c:v>1.6548745942943519</c:v>
                </c:pt>
                <c:pt idx="9">
                  <c:v>1.9270509831248419</c:v>
                </c:pt>
                <c:pt idx="10">
                  <c:v>2.3190778623577248</c:v>
                </c:pt>
                <c:pt idx="11">
                  <c:v>2.9193520685349039</c:v>
                </c:pt>
              </c:numCache>
            </c:numRef>
          </c:xVal>
          <c:yVal>
            <c:numRef>
              <c:f>'Hyperbola (2)'!$L$15:$L$35</c:f>
              <c:numCache>
                <c:formatCode>0.00</c:formatCode>
                <c:ptCount val="21"/>
                <c:pt idx="0">
                  <c:v>0</c:v>
                </c:pt>
                <c:pt idx="1">
                  <c:v>0.21029395222896125</c:v>
                </c:pt>
                <c:pt idx="2">
                  <c:v>0.42580715479991682</c:v>
                </c:pt>
                <c:pt idx="3">
                  <c:v>0.65224114007478173</c:v>
                </c:pt>
                <c:pt idx="4">
                  <c:v>0.89635891591741246</c:v>
                </c:pt>
                <c:pt idx="5">
                  <c:v>1.1667928701453087</c:v>
                </c:pt>
                <c:pt idx="6">
                  <c:v>1.4753032667595454</c:v>
                </c:pt>
                <c:pt idx="7">
                  <c:v>1.8389130975377541</c:v>
                </c:pt>
                <c:pt idx="8">
                  <c:v>2.2838191190465778</c:v>
                </c:pt>
                <c:pt idx="9">
                  <c:v>2.8531695488854605</c:v>
                </c:pt>
                <c:pt idx="10">
                  <c:v>3.6241366413303213</c:v>
                </c:pt>
                <c:pt idx="11">
                  <c:v>4.7505630719081164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BAA-400A-A075-5205DEB3E4A6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'Hyperbola (2)'!$B$14</c:f>
              <c:numCache>
                <c:formatCode>0.000</c:formatCode>
                <c:ptCount val="1"/>
                <c:pt idx="0">
                  <c:v>-2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6BAA-400A-A075-5205DEB3E4A6}"/>
            </c:ext>
          </c:extLst>
        </c:ser>
        <c:ser>
          <c:idx val="3"/>
          <c:order val="3"/>
          <c:tx>
            <c:strRef>
              <c:f>'Hyperbola (2)'!$A$14</c:f>
              <c:strCache>
                <c:ptCount val="1"/>
                <c:pt idx="0">
                  <c:v>x_f1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'Hyperbola (2)'!$B$14</c:f>
              <c:numCache>
                <c:formatCode>0.000</c:formatCode>
                <c:ptCount val="1"/>
                <c:pt idx="0">
                  <c:v>-2</c:v>
                </c:pt>
              </c:numCache>
            </c:numRef>
          </c:xVal>
          <c:yVal>
            <c:numRef>
              <c:f>'Hyperbola (2)'!$B$13</c:f>
              <c:numCache>
                <c:formatCode>0.0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BAA-400A-A075-5205DEB3E4A6}"/>
            </c:ext>
          </c:extLst>
        </c:ser>
        <c:ser>
          <c:idx val="4"/>
          <c:order val="4"/>
          <c:tx>
            <c:strRef>
              <c:f>'Hyperbola (2)'!$A$15</c:f>
              <c:strCache>
                <c:ptCount val="1"/>
                <c:pt idx="0">
                  <c:v>x_f2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'Hyperbola (2)'!$B$15</c:f>
              <c:numCache>
                <c:formatCode>0.000</c:formatCode>
                <c:ptCount val="1"/>
                <c:pt idx="0">
                  <c:v>2</c:v>
                </c:pt>
              </c:numCache>
            </c:numRef>
          </c:xVal>
          <c:yVal>
            <c:numRef>
              <c:f>'Hyperbola (2)'!$B$13</c:f>
              <c:numCache>
                <c:formatCode>0.0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6BAA-400A-A075-5205DEB3E4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2301136"/>
        <c:axId val="352301528"/>
      </c:scatterChart>
      <c:valAx>
        <c:axId val="352301136"/>
        <c:scaling>
          <c:orientation val="minMax"/>
          <c:max val="4"/>
          <c:min val="-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52301528"/>
        <c:crosses val="autoZero"/>
        <c:crossBetween val="midCat"/>
      </c:valAx>
      <c:valAx>
        <c:axId val="352301528"/>
        <c:scaling>
          <c:orientation val="minMax"/>
          <c:max val="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52301136"/>
        <c:crosses val="autoZero"/>
        <c:crossBetween val="midCat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'CHC design'!$B$3</c:f>
              <c:strCache>
                <c:ptCount val="1"/>
                <c:pt idx="0">
                  <c:v>LCR, virtual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('CHC design'!$G$3,'CHC design'!$I$3)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('CHC design'!$H$3,'CHC design'!$J$3)</c:f>
              <c:numCache>
                <c:formatCode>General</c:formatCode>
                <c:ptCount val="2"/>
                <c:pt idx="0">
                  <c:v>-20</c:v>
                </c:pt>
                <c:pt idx="1">
                  <c:v>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933-4F39-BFA9-5C9A94DDD2BA}"/>
            </c:ext>
          </c:extLst>
        </c:ser>
        <c:ser>
          <c:idx val="1"/>
          <c:order val="1"/>
          <c:tx>
            <c:strRef>
              <c:f>'CHC design'!$B$4</c:f>
              <c:strCache>
                <c:ptCount val="1"/>
                <c:pt idx="0">
                  <c:v>HCR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('CHC design'!$G$4,'CHC design'!$I$4)</c:f>
              <c:numCache>
                <c:formatCode>General</c:formatCode>
                <c:ptCount val="2"/>
                <c:pt idx="0">
                  <c:v>50</c:v>
                </c:pt>
                <c:pt idx="1">
                  <c:v>50</c:v>
                </c:pt>
              </c:numCache>
            </c:numRef>
          </c:xVal>
          <c:yVal>
            <c:numRef>
              <c:f>('CHC design'!$H$4,'CHC design'!$J$4)</c:f>
              <c:numCache>
                <c:formatCode>General</c:formatCode>
                <c:ptCount val="2"/>
                <c:pt idx="0">
                  <c:v>-10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933-4F39-BFA9-5C9A94DDD2BA}"/>
            </c:ext>
          </c:extLst>
        </c:ser>
        <c:ser>
          <c:idx val="2"/>
          <c:order val="2"/>
          <c:tx>
            <c:strRef>
              <c:f>'CHC design'!$F$5</c:f>
              <c:strCache>
                <c:ptCount val="1"/>
                <c:pt idx="0">
                  <c:v>centerline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('CHC design'!$G$5,'CHC design'!$I$5)</c:f>
              <c:numCache>
                <c:formatCode>General</c:formatCode>
                <c:ptCount val="2"/>
                <c:pt idx="0">
                  <c:v>0</c:v>
                </c:pt>
                <c:pt idx="1">
                  <c:v>50</c:v>
                </c:pt>
              </c:numCache>
            </c:numRef>
          </c:xVal>
          <c:yVal>
            <c:numRef>
              <c:f>('CHC design'!$H$5,'CHC design'!$J$5)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933-4F39-BFA9-5C9A94DDD2BA}"/>
            </c:ext>
          </c:extLst>
        </c:ser>
        <c:ser>
          <c:idx val="3"/>
          <c:order val="3"/>
          <c:tx>
            <c:strRef>
              <c:f>'CHC design'!$F$6</c:f>
              <c:strCache>
                <c:ptCount val="1"/>
                <c:pt idx="0">
                  <c:v>diag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('CHC design'!$G$6,'CHC design'!$I$6)</c:f>
              <c:numCache>
                <c:formatCode>General</c:formatCode>
                <c:ptCount val="2"/>
                <c:pt idx="0">
                  <c:v>0</c:v>
                </c:pt>
                <c:pt idx="1">
                  <c:v>50</c:v>
                </c:pt>
              </c:numCache>
            </c:numRef>
          </c:xVal>
          <c:yVal>
            <c:numRef>
              <c:f>('CHC design'!$H$6,'CHC design'!$J$6)</c:f>
              <c:numCache>
                <c:formatCode>General</c:formatCode>
                <c:ptCount val="2"/>
                <c:pt idx="0">
                  <c:v>20</c:v>
                </c:pt>
                <c:pt idx="1">
                  <c:v>-10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933-4F39-BFA9-5C9A94DDD2BA}"/>
            </c:ext>
          </c:extLst>
        </c:ser>
        <c:ser>
          <c:idx val="4"/>
          <c:order val="4"/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'CHC design'!$F$21:$F$40</c:f>
              <c:numCache>
                <c:formatCode>0.00</c:formatCode>
                <c:ptCount val="20"/>
                <c:pt idx="0">
                  <c:v>38.286936547754706</c:v>
                </c:pt>
                <c:pt idx="1">
                  <c:v>38.916485239892587</c:v>
                </c:pt>
                <c:pt idx="2">
                  <c:v>39.581908167937094</c:v>
                </c:pt>
                <c:pt idx="3">
                  <c:v>40.28892401257383</c:v>
                </c:pt>
                <c:pt idx="4">
                  <c:v>41.044321142081245</c:v>
                </c:pt>
                <c:pt idx="5">
                  <c:v>41.856235614750929</c:v>
                </c:pt>
                <c:pt idx="6">
                  <c:v>42.734519827737806</c:v>
                </c:pt>
                <c:pt idx="7">
                  <c:v>43.6912381298201</c:v>
                </c:pt>
                <c:pt idx="8">
                  <c:v>44.741343449690334</c:v>
                </c:pt>
                <c:pt idx="9">
                  <c:v>45.903617061944914</c:v>
                </c:pt>
                <c:pt idx="10">
                  <c:v>47.201999192122258</c:v>
                </c:pt>
                <c:pt idx="11">
                  <c:v>48.667514298999109</c:v>
                </c:pt>
                <c:pt idx="12">
                  <c:v>50.341126170926401</c:v>
                </c:pt>
                <c:pt idx="13">
                  <c:v>52.278092733435663</c:v>
                </c:pt>
                <c:pt idx="14">
                  <c:v>54.554827970697808</c:v>
                </c:pt>
                <c:pt idx="15">
                  <c:v>57.280133818741575</c:v>
                </c:pt>
                <c:pt idx="16">
                  <c:v>60.614434609591896</c:v>
                </c:pt>
                <c:pt idx="17">
                  <c:v>64.804562621058565</c:v>
                </c:pt>
                <c:pt idx="18">
                  <c:v>70.251048037934169</c:v>
                </c:pt>
                <c:pt idx="19">
                  <c:v>77.649885057400439</c:v>
                </c:pt>
              </c:numCache>
            </c:numRef>
          </c:xVal>
          <c:yVal>
            <c:numRef>
              <c:f>'CHC design'!$G$21:$G$40</c:f>
              <c:numCache>
                <c:formatCode>0.00</c:formatCode>
                <c:ptCount val="20"/>
                <c:pt idx="0">
                  <c:v>-2.9721619286528265</c:v>
                </c:pt>
                <c:pt idx="1">
                  <c:v>-1.9580622171350086</c:v>
                </c:pt>
                <c:pt idx="2">
                  <c:v>-0.95525463877842753</c:v>
                </c:pt>
                <c:pt idx="3">
                  <c:v>4.3391793054858852E-2</c:v>
                </c:pt>
                <c:pt idx="4">
                  <c:v>1.0450493708817898</c:v>
                </c:pt>
                <c:pt idx="5">
                  <c:v>2.0571682702495</c:v>
                </c:pt>
                <c:pt idx="6">
                  <c:v>3.0877417807117098</c:v>
                </c:pt>
                <c:pt idx="7">
                  <c:v>4.1456227495004896</c:v>
                </c:pt>
                <c:pt idx="8">
                  <c:v>5.2409218377566287</c:v>
                </c:pt>
                <c:pt idx="9">
                  <c:v>6.3855317522203343</c:v>
                </c:pt>
                <c:pt idx="10">
                  <c:v>7.5938442678444282</c:v>
                </c:pt>
                <c:pt idx="11">
                  <c:v>8.883765176221182</c:v>
                </c:pt>
                <c:pt idx="12">
                  <c:v>10.278198745003394</c:v>
                </c:pt>
                <c:pt idx="13">
                  <c:v>11.807292368090529</c:v>
                </c:pt>
                <c:pt idx="14">
                  <c:v>13.511954246817467</c:v>
                </c:pt>
                <c:pt idx="15">
                  <c:v>15.449591486092284</c:v>
                </c:pt>
                <c:pt idx="16">
                  <c:v>17.70391504561989</c:v>
                </c:pt>
                <c:pt idx="17">
                  <c:v>20.40264741642077</c:v>
                </c:pt>
                <c:pt idx="18">
                  <c:v>23.751746729890307</c:v>
                </c:pt>
                <c:pt idx="19">
                  <c:v>28.107470789185058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7933-4F39-BFA9-5C9A94DDD2BA}"/>
            </c:ext>
          </c:extLst>
        </c:ser>
        <c:ser>
          <c:idx val="5"/>
          <c:order val="5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('CHC design'!$I$3,'CHC design'!$I$4)</c:f>
              <c:numCache>
                <c:formatCode>General</c:formatCode>
                <c:ptCount val="2"/>
                <c:pt idx="0">
                  <c:v>0</c:v>
                </c:pt>
                <c:pt idx="1">
                  <c:v>50</c:v>
                </c:pt>
              </c:numCache>
            </c:numRef>
          </c:xVal>
          <c:yVal>
            <c:numRef>
              <c:f>('CHC design'!$J$3,'CHC design'!$J$4)</c:f>
              <c:numCache>
                <c:formatCode>General</c:formatCode>
                <c:ptCount val="2"/>
                <c:pt idx="0">
                  <c:v>20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413-4FA8-88F2-0CA793FAE180}"/>
            </c:ext>
          </c:extLst>
        </c:ser>
        <c:ser>
          <c:idx val="6"/>
          <c:order val="6"/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'CHC design'!$F$33:$F$40</c:f>
              <c:numCache>
                <c:formatCode>0.00</c:formatCode>
                <c:ptCount val="8"/>
                <c:pt idx="0">
                  <c:v>50.341126170926401</c:v>
                </c:pt>
                <c:pt idx="1">
                  <c:v>52.278092733435663</c:v>
                </c:pt>
                <c:pt idx="2">
                  <c:v>54.554827970697808</c:v>
                </c:pt>
                <c:pt idx="3">
                  <c:v>57.280133818741575</c:v>
                </c:pt>
                <c:pt idx="4">
                  <c:v>60.614434609591896</c:v>
                </c:pt>
                <c:pt idx="5">
                  <c:v>64.804562621058565</c:v>
                </c:pt>
                <c:pt idx="6">
                  <c:v>70.251048037934169</c:v>
                </c:pt>
                <c:pt idx="7">
                  <c:v>77.649885057400439</c:v>
                </c:pt>
              </c:numCache>
            </c:numRef>
          </c:xVal>
          <c:yVal>
            <c:numRef>
              <c:f>'CHC design'!$H$33:$H$40</c:f>
              <c:numCache>
                <c:formatCode>0.00</c:formatCode>
                <c:ptCount val="8"/>
                <c:pt idx="0">
                  <c:v>-10.278198745003394</c:v>
                </c:pt>
                <c:pt idx="1">
                  <c:v>-11.807292368090529</c:v>
                </c:pt>
                <c:pt idx="2">
                  <c:v>-13.511954246817467</c:v>
                </c:pt>
                <c:pt idx="3">
                  <c:v>-15.449591486092284</c:v>
                </c:pt>
                <c:pt idx="4">
                  <c:v>-17.70391504561989</c:v>
                </c:pt>
                <c:pt idx="5">
                  <c:v>-20.40264741642077</c:v>
                </c:pt>
                <c:pt idx="6">
                  <c:v>-23.751746729890307</c:v>
                </c:pt>
                <c:pt idx="7">
                  <c:v>-28.107470789185058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413-4FA8-88F2-0CA793FAE1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6338111"/>
        <c:axId val="1511196879"/>
      </c:scatterChart>
      <c:valAx>
        <c:axId val="1786338111"/>
        <c:scaling>
          <c:orientation val="minMax"/>
          <c:max val="8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11196879"/>
        <c:crosses val="autoZero"/>
        <c:crossBetween val="midCat"/>
      </c:valAx>
      <c:valAx>
        <c:axId val="1511196879"/>
        <c:scaling>
          <c:orientation val="minMax"/>
          <c:max val="30"/>
          <c:min val="-3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7863381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'CHC design (2)'!$B$3</c:f>
              <c:strCache>
                <c:ptCount val="1"/>
                <c:pt idx="0">
                  <c:v>LCR, virtual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('CHC design (2)'!$G$3,'CHC design (2)'!$I$3)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('CHC design (2)'!$H$3,'CHC design (2)'!$J$3)</c:f>
              <c:numCache>
                <c:formatCode>General</c:formatCode>
                <c:ptCount val="2"/>
                <c:pt idx="0">
                  <c:v>-2</c:v>
                </c:pt>
                <c:pt idx="1">
                  <c:v>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5E7-45C9-AA52-C004871C1668}"/>
            </c:ext>
          </c:extLst>
        </c:ser>
        <c:ser>
          <c:idx val="1"/>
          <c:order val="1"/>
          <c:tx>
            <c:strRef>
              <c:f>'CHC design (2)'!$B$4</c:f>
              <c:strCache>
                <c:ptCount val="1"/>
                <c:pt idx="0">
                  <c:v>HCR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('CHC design (2)'!$G$4,'CHC design (2)'!$I$4)</c:f>
              <c:numCache>
                <c:formatCode>General</c:formatCode>
                <c:ptCount val="2"/>
                <c:pt idx="0">
                  <c:v>4</c:v>
                </c:pt>
                <c:pt idx="1">
                  <c:v>4</c:v>
                </c:pt>
              </c:numCache>
            </c:numRef>
          </c:xVal>
          <c:yVal>
            <c:numRef>
              <c:f>('CHC design (2)'!$H$4,'CHC design (2)'!$J$4)</c:f>
              <c:numCache>
                <c:formatCode>General</c:formatCode>
                <c:ptCount val="2"/>
                <c:pt idx="0">
                  <c:v>-1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5E7-45C9-AA52-C004871C1668}"/>
            </c:ext>
          </c:extLst>
        </c:ser>
        <c:ser>
          <c:idx val="2"/>
          <c:order val="2"/>
          <c:tx>
            <c:strRef>
              <c:f>'CHC design (2)'!$F$5</c:f>
              <c:strCache>
                <c:ptCount val="1"/>
                <c:pt idx="0">
                  <c:v>centerline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('CHC design (2)'!$G$5,'CHC design (2)'!$I$5)</c:f>
              <c:numCache>
                <c:formatCode>General</c:formatCode>
                <c:ptCount val="2"/>
                <c:pt idx="0">
                  <c:v>0</c:v>
                </c:pt>
                <c:pt idx="1">
                  <c:v>4</c:v>
                </c:pt>
              </c:numCache>
            </c:numRef>
          </c:xVal>
          <c:yVal>
            <c:numRef>
              <c:f>('CHC design (2)'!$H$5,'CHC design (2)'!$J$5)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5E7-45C9-AA52-C004871C1668}"/>
            </c:ext>
          </c:extLst>
        </c:ser>
        <c:ser>
          <c:idx val="3"/>
          <c:order val="3"/>
          <c:tx>
            <c:strRef>
              <c:f>'CHC design (2)'!$F$6</c:f>
              <c:strCache>
                <c:ptCount val="1"/>
                <c:pt idx="0">
                  <c:v>diag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('CHC design (2)'!$G$6,'CHC design (2)'!$I$6)</c:f>
              <c:numCache>
                <c:formatCode>General</c:formatCode>
                <c:ptCount val="2"/>
                <c:pt idx="0">
                  <c:v>0</c:v>
                </c:pt>
                <c:pt idx="1">
                  <c:v>4</c:v>
                </c:pt>
              </c:numCache>
            </c:numRef>
          </c:xVal>
          <c:yVal>
            <c:numRef>
              <c:f>('CHC design (2)'!$H$6,'CHC design (2)'!$J$6)</c:f>
              <c:numCache>
                <c:formatCode>General</c:formatCode>
                <c:ptCount val="2"/>
                <c:pt idx="0">
                  <c:v>2</c:v>
                </c:pt>
                <c:pt idx="1">
                  <c:v>-1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5E7-45C9-AA52-C004871C1668}"/>
            </c:ext>
          </c:extLst>
        </c:ser>
        <c:ser>
          <c:idx val="4"/>
          <c:order val="4"/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'CHC design (2)'!$F$32:$F$41</c:f>
              <c:numCache>
                <c:formatCode>0.00</c:formatCode>
                <c:ptCount val="10"/>
                <c:pt idx="0">
                  <c:v>4.0669876745919984</c:v>
                </c:pt>
                <c:pt idx="1">
                  <c:v>4.2651038372088168</c:v>
                </c:pt>
                <c:pt idx="2">
                  <c:v>4.4975084654245281</c:v>
                </c:pt>
                <c:pt idx="3">
                  <c:v>4.7757069889390094</c:v>
                </c:pt>
                <c:pt idx="4">
                  <c:v>5.1169130871180553</c:v>
                </c:pt>
                <c:pt idx="5">
                  <c:v>5.5481122686779356</c:v>
                </c:pt>
                <c:pt idx="6">
                  <c:v>6.1141713166317393</c:v>
                </c:pt>
                <c:pt idx="7">
                  <c:v>6.8956292501710443</c:v>
                </c:pt>
                <c:pt idx="8">
                  <c:v>8.0530057736996206</c:v>
                </c:pt>
                <c:pt idx="9">
                  <c:v>9.9589830479537707</c:v>
                </c:pt>
              </c:numCache>
            </c:numRef>
          </c:xVal>
          <c:yVal>
            <c:numRef>
              <c:f>'CHC design (2)'!$G$32:$G$41</c:f>
              <c:numCache>
                <c:formatCode>0.00</c:formatCode>
                <c:ptCount val="10"/>
                <c:pt idx="0">
                  <c:v>1.0518493554232076</c:v>
                </c:pt>
                <c:pt idx="1">
                  <c:v>1.2003924608365142</c:v>
                </c:pt>
                <c:pt idx="2">
                  <c:v>1.3670095097586756</c:v>
                </c:pt>
                <c:pt idx="3">
                  <c:v>1.557983263095045</c:v>
                </c:pt>
                <c:pt idx="4">
                  <c:v>1.7826321122969437</c:v>
                </c:pt>
                <c:pt idx="5">
                  <c:v>2.0554735560736597</c:v>
                </c:pt>
                <c:pt idx="6">
                  <c:v>2.4005392961869876</c:v>
                </c:pt>
                <c:pt idx="7">
                  <c:v>2.8608390002280606</c:v>
                </c:pt>
                <c:pt idx="8">
                  <c:v>3.5219259613052882</c:v>
                </c:pt>
                <c:pt idx="9">
                  <c:v>4.5821929393603771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5E7-45C9-AA52-C004871C1668}"/>
            </c:ext>
          </c:extLst>
        </c:ser>
        <c:ser>
          <c:idx val="5"/>
          <c:order val="5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('CHC design (2)'!$I$3,'CHC design (2)'!$I$4)</c:f>
              <c:numCache>
                <c:formatCode>General</c:formatCode>
                <c:ptCount val="2"/>
                <c:pt idx="0">
                  <c:v>0</c:v>
                </c:pt>
                <c:pt idx="1">
                  <c:v>4</c:v>
                </c:pt>
              </c:numCache>
            </c:numRef>
          </c:xVal>
          <c:yVal>
            <c:numRef>
              <c:f>('CHC design (2)'!$J$3,'CHC design (2)'!$J$4)</c:f>
              <c:numCache>
                <c:formatCode>General</c:formatCode>
                <c:ptCount val="2"/>
                <c:pt idx="0">
                  <c:v>2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5E7-45C9-AA52-C004871C1668}"/>
            </c:ext>
          </c:extLst>
        </c:ser>
        <c:ser>
          <c:idx val="6"/>
          <c:order val="6"/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'CHC design (2)'!$F$32:$F$41</c:f>
              <c:numCache>
                <c:formatCode>0.00</c:formatCode>
                <c:ptCount val="10"/>
                <c:pt idx="0">
                  <c:v>4.0669876745919984</c:v>
                </c:pt>
                <c:pt idx="1">
                  <c:v>4.2651038372088168</c:v>
                </c:pt>
                <c:pt idx="2">
                  <c:v>4.4975084654245281</c:v>
                </c:pt>
                <c:pt idx="3">
                  <c:v>4.7757069889390094</c:v>
                </c:pt>
                <c:pt idx="4">
                  <c:v>5.1169130871180553</c:v>
                </c:pt>
                <c:pt idx="5">
                  <c:v>5.5481122686779356</c:v>
                </c:pt>
                <c:pt idx="6">
                  <c:v>6.1141713166317393</c:v>
                </c:pt>
                <c:pt idx="7">
                  <c:v>6.8956292501710443</c:v>
                </c:pt>
                <c:pt idx="8">
                  <c:v>8.0530057736996206</c:v>
                </c:pt>
                <c:pt idx="9">
                  <c:v>9.9589830479537707</c:v>
                </c:pt>
              </c:numCache>
            </c:numRef>
          </c:xVal>
          <c:yVal>
            <c:numRef>
              <c:f>'CHC design (2)'!$H$32:$H$41</c:f>
              <c:numCache>
                <c:formatCode>0.00</c:formatCode>
                <c:ptCount val="10"/>
                <c:pt idx="0">
                  <c:v>-1.0518493554232076</c:v>
                </c:pt>
                <c:pt idx="1">
                  <c:v>-1.2003924608365142</c:v>
                </c:pt>
                <c:pt idx="2">
                  <c:v>-1.3670095097586756</c:v>
                </c:pt>
                <c:pt idx="3">
                  <c:v>-1.557983263095045</c:v>
                </c:pt>
                <c:pt idx="4">
                  <c:v>-1.7826321122969437</c:v>
                </c:pt>
                <c:pt idx="5">
                  <c:v>-2.0554735560736597</c:v>
                </c:pt>
                <c:pt idx="6">
                  <c:v>-2.4005392961869876</c:v>
                </c:pt>
                <c:pt idx="7">
                  <c:v>-2.8608390002280606</c:v>
                </c:pt>
                <c:pt idx="8">
                  <c:v>-3.5219259613052882</c:v>
                </c:pt>
                <c:pt idx="9">
                  <c:v>-4.5821929393603771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5E7-45C9-AA52-C004871C16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6338111"/>
        <c:axId val="1511196879"/>
      </c:scatterChart>
      <c:valAx>
        <c:axId val="1786338111"/>
        <c:scaling>
          <c:orientation val="minMax"/>
          <c:max val="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11196879"/>
        <c:crosses val="autoZero"/>
        <c:crossBetween val="midCat"/>
      </c:valAx>
      <c:valAx>
        <c:axId val="1511196879"/>
        <c:scaling>
          <c:orientation val="minMax"/>
          <c:max val="4"/>
          <c:min val="-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7863381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229842</xdr:colOff>
      <xdr:row>2</xdr:row>
      <xdr:rowOff>35614</xdr:rowOff>
    </xdr:from>
    <xdr:to>
      <xdr:col>24</xdr:col>
      <xdr:colOff>438149</xdr:colOff>
      <xdr:row>53</xdr:row>
      <xdr:rowOff>38099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7AB3113-FFB6-30F1-307F-91FAD57F732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250371</xdr:colOff>
      <xdr:row>2</xdr:row>
      <xdr:rowOff>9770</xdr:rowOff>
    </xdr:from>
    <xdr:to>
      <xdr:col>21</xdr:col>
      <xdr:colOff>666751</xdr:colOff>
      <xdr:row>37</xdr:row>
      <xdr:rowOff>190499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387187</xdr:colOff>
      <xdr:row>30</xdr:row>
      <xdr:rowOff>23624</xdr:rowOff>
    </xdr:from>
    <xdr:to>
      <xdr:col>11</xdr:col>
      <xdr:colOff>384343</xdr:colOff>
      <xdr:row>43</xdr:row>
      <xdr:rowOff>65684</xdr:rowOff>
    </xdr:to>
    <xdr:pic>
      <xdr:nvPicPr>
        <xdr:cNvPr id="10" name="Grafik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0596" y="5738624"/>
          <a:ext cx="4465247" cy="25185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44824</xdr:colOff>
      <xdr:row>2</xdr:row>
      <xdr:rowOff>9770</xdr:rowOff>
    </xdr:from>
    <xdr:to>
      <xdr:col>24</xdr:col>
      <xdr:colOff>8965</xdr:colOff>
      <xdr:row>35</xdr:row>
      <xdr:rowOff>152399</xdr:rowOff>
    </xdr:to>
    <xdr:graphicFrame macro="">
      <xdr:nvGraphicFramePr>
        <xdr:cNvPr id="2" name="Diagramm 2">
          <a:extLst>
            <a:ext uri="{FF2B5EF4-FFF2-40B4-BE49-F238E27FC236}">
              <a16:creationId xmlns:a16="http://schemas.microsoft.com/office/drawing/2014/main" id="{4B91A9DD-FCA0-42D0-B380-38B34FE8F3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216858</xdr:colOff>
      <xdr:row>30</xdr:row>
      <xdr:rowOff>41554</xdr:rowOff>
    </xdr:from>
    <xdr:to>
      <xdr:col>9</xdr:col>
      <xdr:colOff>214013</xdr:colOff>
      <xdr:row>43</xdr:row>
      <xdr:rowOff>83614</xdr:rowOff>
    </xdr:to>
    <xdr:pic>
      <xdr:nvPicPr>
        <xdr:cNvPr id="3" name="Grafik 9">
          <a:extLst>
            <a:ext uri="{FF2B5EF4-FFF2-40B4-BE49-F238E27FC236}">
              <a16:creationId xmlns:a16="http://schemas.microsoft.com/office/drawing/2014/main" id="{3A2FCD2C-C6EB-4F56-BEB4-41F9592DA8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3540" y="5420378"/>
          <a:ext cx="4730520" cy="237288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560614</xdr:colOff>
      <xdr:row>3</xdr:row>
      <xdr:rowOff>48984</xdr:rowOff>
    </xdr:from>
    <xdr:to>
      <xdr:col>22</xdr:col>
      <xdr:colOff>185056</xdr:colOff>
      <xdr:row>36</xdr:row>
      <xdr:rowOff>114299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3377B69-A9BD-3A8A-DEB2-A507BAFE8E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723901</xdr:colOff>
      <xdr:row>15</xdr:row>
      <xdr:rowOff>72030</xdr:rowOff>
    </xdr:from>
    <xdr:to>
      <xdr:col>9</xdr:col>
      <xdr:colOff>473529</xdr:colOff>
      <xdr:row>18</xdr:row>
      <xdr:rowOff>130651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C65A51EA-5527-76BB-CB96-7481D7839C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00501" y="2847887"/>
          <a:ext cx="3668485" cy="613793"/>
        </a:xfrm>
        <a:prstGeom prst="rect">
          <a:avLst/>
        </a:prstGeom>
      </xdr:spPr>
    </xdr:pic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0.305</cdr:x>
      <cdr:y>0.51411</cdr:y>
    </cdr:from>
    <cdr:to>
      <cdr:x>0.35383</cdr:x>
      <cdr:y>0.597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29EDDF6C-BAC9-66B5-310D-1A475BD16F27}"/>
            </a:ext>
          </a:extLst>
        </cdr:cNvPr>
        <cdr:cNvSpPr txBox="1"/>
      </cdr:nvSpPr>
      <cdr:spPr>
        <a:xfrm xmlns:a="http://schemas.openxmlformats.org/drawingml/2006/main">
          <a:off x="2674375" y="3075417"/>
          <a:ext cx="428163" cy="495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de-CH" sz="2400"/>
            <a:t>D</a:t>
          </a:r>
        </a:p>
      </cdr:txBody>
    </cdr:sp>
  </cdr:relSizeAnchor>
  <cdr:relSizeAnchor xmlns:cdr="http://schemas.openxmlformats.org/drawingml/2006/chartDrawing">
    <cdr:from>
      <cdr:x>0.04239</cdr:x>
      <cdr:y>0.30541</cdr:y>
    </cdr:from>
    <cdr:to>
      <cdr:x>0.09122</cdr:x>
      <cdr:y>0.3883</cdr:y>
    </cdr:to>
    <cdr:sp macro="" textlink="">
      <cdr:nvSpPr>
        <cdr:cNvPr id="3" name="Textfeld 1">
          <a:extLst xmlns:a="http://schemas.openxmlformats.org/drawingml/2006/main">
            <a:ext uri="{FF2B5EF4-FFF2-40B4-BE49-F238E27FC236}">
              <a16:creationId xmlns:a16="http://schemas.microsoft.com/office/drawing/2014/main" id="{3DD31F94-A58F-FC08-E1D2-DADAB30B5303}"/>
            </a:ext>
          </a:extLst>
        </cdr:cNvPr>
        <cdr:cNvSpPr txBox="1"/>
      </cdr:nvSpPr>
      <cdr:spPr>
        <a:xfrm xmlns:a="http://schemas.openxmlformats.org/drawingml/2006/main">
          <a:off x="371694" y="1826969"/>
          <a:ext cx="428163" cy="495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de-CH" sz="2400"/>
            <a:t>r</a:t>
          </a:r>
        </a:p>
      </cdr:txBody>
    </cdr:sp>
  </cdr:relSizeAnchor>
  <cdr:relSizeAnchor xmlns:cdr="http://schemas.openxmlformats.org/drawingml/2006/chartDrawing">
    <cdr:from>
      <cdr:x>0.63492</cdr:x>
      <cdr:y>0.38477</cdr:y>
    </cdr:from>
    <cdr:to>
      <cdr:x>0.68375</cdr:x>
      <cdr:y>0.46767</cdr:y>
    </cdr:to>
    <cdr:sp macro="" textlink="">
      <cdr:nvSpPr>
        <cdr:cNvPr id="4" name="Textfeld 1">
          <a:extLst xmlns:a="http://schemas.openxmlformats.org/drawingml/2006/main">
            <a:ext uri="{FF2B5EF4-FFF2-40B4-BE49-F238E27FC236}">
              <a16:creationId xmlns:a16="http://schemas.microsoft.com/office/drawing/2014/main" id="{3DD31F94-A58F-FC08-E1D2-DADAB30B5303}"/>
            </a:ext>
          </a:extLst>
        </cdr:cNvPr>
        <cdr:cNvSpPr txBox="1"/>
      </cdr:nvSpPr>
      <cdr:spPr>
        <a:xfrm xmlns:a="http://schemas.openxmlformats.org/drawingml/2006/main">
          <a:off x="5567259" y="2301702"/>
          <a:ext cx="428163" cy="49591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de-CH" sz="2400"/>
            <a:t>R</a:t>
          </a:r>
        </a:p>
      </cdr:txBody>
    </cdr:sp>
  </cdr:relSizeAnchor>
  <cdr:relSizeAnchor xmlns:cdr="http://schemas.openxmlformats.org/drawingml/2006/chartDrawing">
    <cdr:from>
      <cdr:x>0.90617</cdr:x>
      <cdr:y>0.50294</cdr:y>
    </cdr:from>
    <cdr:to>
      <cdr:x>0.95499</cdr:x>
      <cdr:y>0.58583</cdr:y>
    </cdr:to>
    <cdr:sp macro="" textlink="">
      <cdr:nvSpPr>
        <cdr:cNvPr id="5" name="Textfeld 1">
          <a:extLst xmlns:a="http://schemas.openxmlformats.org/drawingml/2006/main">
            <a:ext uri="{FF2B5EF4-FFF2-40B4-BE49-F238E27FC236}">
              <a16:creationId xmlns:a16="http://schemas.microsoft.com/office/drawing/2014/main" id="{3DD31F94-A58F-FC08-E1D2-DADAB30B5303}"/>
            </a:ext>
          </a:extLst>
        </cdr:cNvPr>
        <cdr:cNvSpPr txBox="1"/>
      </cdr:nvSpPr>
      <cdr:spPr>
        <a:xfrm xmlns:a="http://schemas.openxmlformats.org/drawingml/2006/main">
          <a:off x="8182428" y="3104242"/>
          <a:ext cx="440872" cy="5116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de-CH" sz="2400"/>
            <a:t>L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560614</xdr:colOff>
      <xdr:row>3</xdr:row>
      <xdr:rowOff>48984</xdr:rowOff>
    </xdr:from>
    <xdr:to>
      <xdr:col>22</xdr:col>
      <xdr:colOff>185056</xdr:colOff>
      <xdr:row>36</xdr:row>
      <xdr:rowOff>114299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B3EB8A3A-13AF-4457-95A6-17E6917A7D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723901</xdr:colOff>
      <xdr:row>15</xdr:row>
      <xdr:rowOff>72030</xdr:rowOff>
    </xdr:from>
    <xdr:to>
      <xdr:col>9</xdr:col>
      <xdr:colOff>473529</xdr:colOff>
      <xdr:row>18</xdr:row>
      <xdr:rowOff>130651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407F5A5D-0255-4F72-BFCA-AF228E8277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9061" y="2815230"/>
          <a:ext cx="3559628" cy="607261"/>
        </a:xfrm>
        <a:prstGeom prst="rect">
          <a:avLst/>
        </a:prstGeom>
      </xdr:spPr>
    </xdr:pic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0.20378</cdr:x>
      <cdr:y>0.43768</cdr:y>
    </cdr:from>
    <cdr:to>
      <cdr:x>0.25261</cdr:x>
      <cdr:y>0.52057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29EDDF6C-BAC9-66B5-310D-1A475BD16F27}"/>
            </a:ext>
          </a:extLst>
        </cdr:cNvPr>
        <cdr:cNvSpPr txBox="1"/>
      </cdr:nvSpPr>
      <cdr:spPr>
        <a:xfrm xmlns:a="http://schemas.openxmlformats.org/drawingml/2006/main">
          <a:off x="1786870" y="2618217"/>
          <a:ext cx="428163" cy="495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de-CH" sz="2400"/>
            <a:t>D</a:t>
          </a:r>
        </a:p>
      </cdr:txBody>
    </cdr:sp>
  </cdr:relSizeAnchor>
  <cdr:relSizeAnchor xmlns:cdr="http://schemas.openxmlformats.org/drawingml/2006/chartDrawing">
    <cdr:from>
      <cdr:x>0.04852</cdr:x>
      <cdr:y>0.34288</cdr:y>
    </cdr:from>
    <cdr:to>
      <cdr:x>0.09735</cdr:x>
      <cdr:y>0.42577</cdr:y>
    </cdr:to>
    <cdr:sp macro="" textlink="">
      <cdr:nvSpPr>
        <cdr:cNvPr id="3" name="Textfeld 1">
          <a:extLst xmlns:a="http://schemas.openxmlformats.org/drawingml/2006/main">
            <a:ext uri="{FF2B5EF4-FFF2-40B4-BE49-F238E27FC236}">
              <a16:creationId xmlns:a16="http://schemas.microsoft.com/office/drawing/2014/main" id="{3DD31F94-A58F-FC08-E1D2-DADAB30B5303}"/>
            </a:ext>
          </a:extLst>
        </cdr:cNvPr>
        <cdr:cNvSpPr txBox="1"/>
      </cdr:nvSpPr>
      <cdr:spPr>
        <a:xfrm xmlns:a="http://schemas.openxmlformats.org/drawingml/2006/main">
          <a:off x="425483" y="2051086"/>
          <a:ext cx="428163" cy="495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de-CH" sz="2400"/>
            <a:t>r</a:t>
          </a:r>
        </a:p>
      </cdr:txBody>
    </cdr:sp>
  </cdr:relSizeAnchor>
  <cdr:relSizeAnchor xmlns:cdr="http://schemas.openxmlformats.org/drawingml/2006/chartDrawing">
    <cdr:from>
      <cdr:x>0.45907</cdr:x>
      <cdr:y>0.40125</cdr:y>
    </cdr:from>
    <cdr:to>
      <cdr:x>0.5079</cdr:x>
      <cdr:y>0.48415</cdr:y>
    </cdr:to>
    <cdr:sp macro="" textlink="">
      <cdr:nvSpPr>
        <cdr:cNvPr id="4" name="Textfeld 1">
          <a:extLst xmlns:a="http://schemas.openxmlformats.org/drawingml/2006/main">
            <a:ext uri="{FF2B5EF4-FFF2-40B4-BE49-F238E27FC236}">
              <a16:creationId xmlns:a16="http://schemas.microsoft.com/office/drawing/2014/main" id="{3DD31F94-A58F-FC08-E1D2-DADAB30B5303}"/>
            </a:ext>
          </a:extLst>
        </cdr:cNvPr>
        <cdr:cNvSpPr txBox="1"/>
      </cdr:nvSpPr>
      <cdr:spPr>
        <a:xfrm xmlns:a="http://schemas.openxmlformats.org/drawingml/2006/main">
          <a:off x="4025329" y="2400314"/>
          <a:ext cx="428163" cy="49591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de-CH" sz="2400"/>
            <a:t>R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4809A-A133-4258-841D-D68694E7AC23}">
  <dimension ref="B2:M105"/>
  <sheetViews>
    <sheetView zoomScale="25" zoomScaleNormal="25" workbookViewId="0">
      <selection activeCell="AB34" sqref="AB34"/>
    </sheetView>
  </sheetViews>
  <sheetFormatPr defaultColWidth="11.44140625" defaultRowHeight="14.4" x14ac:dyDescent="0.3"/>
  <cols>
    <col min="1" max="12" width="11.44140625" style="1"/>
    <col min="13" max="13" width="11.44140625" style="15"/>
    <col min="14" max="16384" width="11.44140625" style="1"/>
  </cols>
  <sheetData>
    <row r="2" spans="2:13" x14ac:dyDescent="0.3">
      <c r="C2" s="1" t="s">
        <v>44</v>
      </c>
      <c r="M2" s="15" t="s">
        <v>43</v>
      </c>
    </row>
    <row r="3" spans="2:13" x14ac:dyDescent="0.3">
      <c r="B3" s="1" t="s">
        <v>20</v>
      </c>
      <c r="C3" s="8">
        <v>3</v>
      </c>
      <c r="D3" s="8">
        <v>3</v>
      </c>
      <c r="E3" s="8">
        <v>3</v>
      </c>
      <c r="F3" s="8">
        <v>3</v>
      </c>
      <c r="G3" s="8">
        <v>3</v>
      </c>
      <c r="H3" s="8">
        <v>3</v>
      </c>
      <c r="I3" s="8">
        <v>3</v>
      </c>
      <c r="J3" s="8">
        <v>3</v>
      </c>
      <c r="K3" s="8">
        <v>3</v>
      </c>
      <c r="L3" s="8">
        <v>3</v>
      </c>
      <c r="M3" s="16">
        <v>3</v>
      </c>
    </row>
    <row r="4" spans="2:13" x14ac:dyDescent="0.3">
      <c r="B4" s="12" t="s">
        <v>46</v>
      </c>
      <c r="C4" s="8">
        <f>-C3</f>
        <v>-3</v>
      </c>
      <c r="D4" s="8">
        <f t="shared" ref="D4:M4" si="0">-D3</f>
        <v>-3</v>
      </c>
      <c r="E4" s="8">
        <f t="shared" si="0"/>
        <v>-3</v>
      </c>
      <c r="F4" s="8">
        <f t="shared" si="0"/>
        <v>-3</v>
      </c>
      <c r="G4" s="8">
        <f t="shared" si="0"/>
        <v>-3</v>
      </c>
      <c r="H4" s="8">
        <f t="shared" si="0"/>
        <v>-3</v>
      </c>
      <c r="I4" s="8">
        <f t="shared" si="0"/>
        <v>-3</v>
      </c>
      <c r="J4" s="8">
        <f t="shared" si="0"/>
        <v>-3</v>
      </c>
      <c r="K4" s="8">
        <f t="shared" si="0"/>
        <v>-3</v>
      </c>
      <c r="L4" s="8">
        <f t="shared" si="0"/>
        <v>-3</v>
      </c>
      <c r="M4" s="8">
        <f t="shared" si="0"/>
        <v>-3</v>
      </c>
    </row>
    <row r="5" spans="2:13" x14ac:dyDescent="0.3">
      <c r="B5" s="1" t="s">
        <v>21</v>
      </c>
      <c r="C5" s="8">
        <v>1</v>
      </c>
      <c r="D5" s="8">
        <v>1</v>
      </c>
      <c r="E5" s="8">
        <v>1</v>
      </c>
      <c r="F5" s="8">
        <v>1</v>
      </c>
      <c r="G5" s="8">
        <v>1</v>
      </c>
      <c r="H5" s="8">
        <v>1</v>
      </c>
      <c r="I5" s="8">
        <v>1</v>
      </c>
      <c r="J5" s="8">
        <v>1</v>
      </c>
      <c r="K5" s="8">
        <v>1</v>
      </c>
      <c r="L5" s="8">
        <v>1</v>
      </c>
      <c r="M5" s="16">
        <v>1</v>
      </c>
    </row>
    <row r="6" spans="2:13" x14ac:dyDescent="0.3">
      <c r="B6" s="12" t="s">
        <v>47</v>
      </c>
      <c r="C6" s="8">
        <f>-C5</f>
        <v>-1</v>
      </c>
      <c r="D6" s="8">
        <f t="shared" ref="D6:M6" si="1">-D5</f>
        <v>-1</v>
      </c>
      <c r="E6" s="8">
        <f t="shared" si="1"/>
        <v>-1</v>
      </c>
      <c r="F6" s="8">
        <f t="shared" si="1"/>
        <v>-1</v>
      </c>
      <c r="G6" s="8">
        <f t="shared" si="1"/>
        <v>-1</v>
      </c>
      <c r="H6" s="8">
        <f t="shared" si="1"/>
        <v>-1</v>
      </c>
      <c r="I6" s="8">
        <f t="shared" si="1"/>
        <v>-1</v>
      </c>
      <c r="J6" s="8">
        <f t="shared" si="1"/>
        <v>-1</v>
      </c>
      <c r="K6" s="8">
        <f t="shared" si="1"/>
        <v>-1</v>
      </c>
      <c r="L6" s="8">
        <f t="shared" si="1"/>
        <v>-1</v>
      </c>
      <c r="M6" s="8">
        <f t="shared" si="1"/>
        <v>-1</v>
      </c>
    </row>
    <row r="7" spans="2:13" x14ac:dyDescent="0.3">
      <c r="B7" s="1" t="s">
        <v>41</v>
      </c>
      <c r="C7" s="4">
        <v>4.5</v>
      </c>
      <c r="D7" s="4">
        <v>4</v>
      </c>
      <c r="E7" s="4">
        <v>3.5</v>
      </c>
      <c r="F7" s="4">
        <v>3</v>
      </c>
      <c r="G7" s="4">
        <v>2.5</v>
      </c>
      <c r="H7" s="4">
        <v>2</v>
      </c>
      <c r="I7" s="4">
        <v>1.5</v>
      </c>
      <c r="J7" s="4">
        <v>1</v>
      </c>
      <c r="K7" s="4">
        <v>0.5</v>
      </c>
      <c r="L7" s="4">
        <v>0.1</v>
      </c>
      <c r="M7" s="4">
        <v>0</v>
      </c>
    </row>
    <row r="9" spans="2:13" x14ac:dyDescent="0.3">
      <c r="B9" s="1" t="s">
        <v>25</v>
      </c>
      <c r="C9" s="13">
        <f t="shared" ref="C9:L9" si="2">DEGREES(ATAN(C7/(C3+C5)))</f>
        <v>48.366460663429805</v>
      </c>
      <c r="D9" s="13">
        <f t="shared" si="2"/>
        <v>45</v>
      </c>
      <c r="E9" s="13">
        <f t="shared" si="2"/>
        <v>41.185925165709648</v>
      </c>
      <c r="F9" s="13">
        <f t="shared" si="2"/>
        <v>36.86989764584402</v>
      </c>
      <c r="G9" s="13">
        <f t="shared" si="2"/>
        <v>32.005383208083494</v>
      </c>
      <c r="H9" s="13">
        <f t="shared" si="2"/>
        <v>26.56505117707799</v>
      </c>
      <c r="I9" s="13">
        <f t="shared" si="2"/>
        <v>20.556045219583467</v>
      </c>
      <c r="J9" s="13">
        <f t="shared" si="2"/>
        <v>14.036243467926479</v>
      </c>
      <c r="K9" s="13">
        <f t="shared" si="2"/>
        <v>7.1250163489017977</v>
      </c>
      <c r="L9" s="13">
        <f t="shared" si="2"/>
        <v>1.4320961841646465</v>
      </c>
      <c r="M9" s="15">
        <v>1E-3</v>
      </c>
    </row>
    <row r="10" spans="2:13" x14ac:dyDescent="0.3">
      <c r="B10" s="1" t="s">
        <v>9</v>
      </c>
      <c r="C10" s="7">
        <f t="shared" ref="C10:L10" si="3">C7/2/SIN(RADIANS(C9))</f>
        <v>3.0103986446980735</v>
      </c>
      <c r="D10" s="7">
        <f t="shared" si="3"/>
        <v>2.8284271247461903</v>
      </c>
      <c r="E10" s="7">
        <f t="shared" si="3"/>
        <v>2.6575364531836621</v>
      </c>
      <c r="F10" s="7">
        <f t="shared" si="3"/>
        <v>2.5</v>
      </c>
      <c r="G10" s="7">
        <f t="shared" si="3"/>
        <v>2.3584952830141508</v>
      </c>
      <c r="H10" s="7">
        <f t="shared" si="3"/>
        <v>2.2360679774997898</v>
      </c>
      <c r="I10" s="7">
        <f t="shared" si="3"/>
        <v>2.1360009363293826</v>
      </c>
      <c r="J10" s="7">
        <f t="shared" si="3"/>
        <v>2.0615528128088303</v>
      </c>
      <c r="K10" s="7">
        <f t="shared" si="3"/>
        <v>2.0155644370746373</v>
      </c>
      <c r="L10" s="7">
        <f t="shared" si="3"/>
        <v>2.0006249023742555</v>
      </c>
      <c r="M10" s="7">
        <f>M3</f>
        <v>3</v>
      </c>
    </row>
    <row r="11" spans="2:13" x14ac:dyDescent="0.3">
      <c r="B11" s="1" t="s">
        <v>51</v>
      </c>
      <c r="C11" s="7">
        <f t="shared" ref="C11:L11" si="4">2*C5*COS(RADIANS(C9))-C10</f>
        <v>-1.6816709670382342</v>
      </c>
      <c r="D11" s="7">
        <f t="shared" si="4"/>
        <v>-1.4142135623730951</v>
      </c>
      <c r="E11" s="7">
        <f t="shared" si="4"/>
        <v>-1.1523830637699064</v>
      </c>
      <c r="F11" s="7">
        <f t="shared" si="4"/>
        <v>-0.89999999999999991</v>
      </c>
      <c r="G11" s="7">
        <f t="shared" si="4"/>
        <v>-0.66249867500397475</v>
      </c>
      <c r="H11" s="7">
        <f t="shared" si="4"/>
        <v>-0.44721359549995809</v>
      </c>
      <c r="I11" s="7">
        <f t="shared" si="4"/>
        <v>-0.2633425811912935</v>
      </c>
      <c r="J11" s="7">
        <f t="shared" si="4"/>
        <v>-0.12126781251816654</v>
      </c>
      <c r="K11" s="7">
        <f t="shared" si="4"/>
        <v>-3.1008683647302027E-2</v>
      </c>
      <c r="L11" s="7">
        <f t="shared" si="4"/>
        <v>-1.2496095580099009E-3</v>
      </c>
      <c r="M11" s="7"/>
    </row>
    <row r="12" spans="2:13" x14ac:dyDescent="0.3">
      <c r="B12" s="1" t="s">
        <v>0</v>
      </c>
      <c r="C12" s="7">
        <f t="shared" ref="C12:L12" si="5">-C5/C11+SQRT(C5^2/C11^2-C10/C11)</f>
        <v>2.0587942102293009</v>
      </c>
      <c r="D12" s="7">
        <f t="shared" si="5"/>
        <v>2.288245611270737</v>
      </c>
      <c r="E12" s="7">
        <f t="shared" si="5"/>
        <v>2.6168073203102433</v>
      </c>
      <c r="F12" s="7">
        <f t="shared" si="5"/>
        <v>3.1141951530355501</v>
      </c>
      <c r="G12" s="7">
        <f t="shared" si="5"/>
        <v>3.9257151108152906</v>
      </c>
      <c r="H12" s="7">
        <f t="shared" si="5"/>
        <v>5.398345637668168</v>
      </c>
      <c r="I12" s="7">
        <f t="shared" si="5"/>
        <v>8.5440037453175393</v>
      </c>
      <c r="J12" s="7">
        <f t="shared" si="5"/>
        <v>17.465755708528199</v>
      </c>
      <c r="K12" s="7">
        <f t="shared" si="5"/>
        <v>65.490571270383697</v>
      </c>
      <c r="L12" s="7">
        <f t="shared" si="5"/>
        <v>1601.4996099359082</v>
      </c>
      <c r="M12" s="7">
        <f>M10/M13</f>
        <v>3</v>
      </c>
    </row>
    <row r="13" spans="2:13" x14ac:dyDescent="0.3">
      <c r="B13" s="1" t="s">
        <v>3</v>
      </c>
      <c r="C13" s="7">
        <f>C10/C12</f>
        <v>1.462214450449026</v>
      </c>
      <c r="D13" s="7">
        <f t="shared" ref="D13:L13" si="6">D10/D12</f>
        <v>1.2360679774997898</v>
      </c>
      <c r="E13" s="7">
        <f t="shared" si="6"/>
        <v>1.0155644370746373</v>
      </c>
      <c r="F13" s="7">
        <f t="shared" si="6"/>
        <v>0.80277563773199456</v>
      </c>
      <c r="G13" s="7">
        <f t="shared" si="6"/>
        <v>0.60078105935821202</v>
      </c>
      <c r="H13" s="7">
        <f t="shared" si="6"/>
        <v>0.41421356237309515</v>
      </c>
      <c r="I13" s="7">
        <f t="shared" si="6"/>
        <v>0.24999999999999975</v>
      </c>
      <c r="J13" s="7">
        <f t="shared" si="6"/>
        <v>0.11803398874989492</v>
      </c>
      <c r="K13" s="7">
        <f t="shared" si="6"/>
        <v>3.0776406404415053E-2</v>
      </c>
      <c r="L13" s="7">
        <f t="shared" si="6"/>
        <v>1.249219725039034E-3</v>
      </c>
      <c r="M13" s="7">
        <f>M5</f>
        <v>1</v>
      </c>
    </row>
    <row r="14" spans="2:13" x14ac:dyDescent="0.3">
      <c r="B14" s="1" t="s">
        <v>6</v>
      </c>
      <c r="C14" s="7">
        <f>C10-C13</f>
        <v>1.5481841942490475</v>
      </c>
      <c r="D14" s="7">
        <f t="shared" ref="D14:M14" si="7">D10-D13</f>
        <v>1.5923591472464005</v>
      </c>
      <c r="E14" s="7">
        <f t="shared" si="7"/>
        <v>1.6419720161090248</v>
      </c>
      <c r="F14" s="7">
        <f t="shared" si="7"/>
        <v>1.6972243622680054</v>
      </c>
      <c r="G14" s="7">
        <f t="shared" si="7"/>
        <v>1.7577142236559387</v>
      </c>
      <c r="H14" s="7">
        <f t="shared" si="7"/>
        <v>1.8218544151266947</v>
      </c>
      <c r="I14" s="7">
        <f t="shared" si="7"/>
        <v>1.8860009363293828</v>
      </c>
      <c r="J14" s="7">
        <f t="shared" si="7"/>
        <v>1.9435188240589354</v>
      </c>
      <c r="K14" s="7">
        <f t="shared" si="7"/>
        <v>1.9847880306702221</v>
      </c>
      <c r="L14" s="7">
        <f t="shared" si="7"/>
        <v>1.9993756826492164</v>
      </c>
      <c r="M14" s="7">
        <f t="shared" si="7"/>
        <v>2</v>
      </c>
    </row>
    <row r="15" spans="2:13" x14ac:dyDescent="0.3">
      <c r="B15" s="1" t="s">
        <v>16</v>
      </c>
      <c r="C15" s="7">
        <f t="shared" ref="C15:M15" si="8">SQRT(C10^2-C13^2)</f>
        <v>2.6314309606938298</v>
      </c>
      <c r="D15" s="7">
        <f t="shared" si="8"/>
        <v>2.5440392990281384</v>
      </c>
      <c r="E15" s="7">
        <f t="shared" si="8"/>
        <v>2.455835677350843</v>
      </c>
      <c r="F15" s="7">
        <f t="shared" si="8"/>
        <v>2.3676045437243083</v>
      </c>
      <c r="G15" s="7">
        <f t="shared" si="8"/>
        <v>2.2806933416652981</v>
      </c>
      <c r="H15" s="7">
        <f t="shared" si="8"/>
        <v>2.1973682269356201</v>
      </c>
      <c r="I15" s="7">
        <f t="shared" si="8"/>
        <v>2.1213203435596424</v>
      </c>
      <c r="J15" s="7">
        <f t="shared" si="8"/>
        <v>2.0581710272714924</v>
      </c>
      <c r="K15" s="7">
        <f t="shared" si="8"/>
        <v>2.0153294551533825</v>
      </c>
      <c r="L15" s="7">
        <f t="shared" si="8"/>
        <v>2.000624512358598</v>
      </c>
      <c r="M15" s="7">
        <f t="shared" si="8"/>
        <v>2.8284271247461903</v>
      </c>
    </row>
    <row r="16" spans="2:13" x14ac:dyDescent="0.3">
      <c r="B16" s="1" t="s">
        <v>5</v>
      </c>
      <c r="C16" s="7">
        <f t="shared" ref="C16:M16" si="9">C15^2/C13</f>
        <v>4.7355768497375026</v>
      </c>
      <c r="D16" s="7">
        <f t="shared" si="9"/>
        <v>5.2360679774997916</v>
      </c>
      <c r="E16" s="7">
        <f t="shared" si="9"/>
        <v>5.9386964076076891</v>
      </c>
      <c r="F16" s="7">
        <f t="shared" si="9"/>
        <v>6.9827122448568817</v>
      </c>
      <c r="G16" s="7">
        <f t="shared" si="9"/>
        <v>8.6579995119570246</v>
      </c>
      <c r="H16" s="7">
        <f t="shared" si="9"/>
        <v>11.65685424949238</v>
      </c>
      <c r="I16" s="7">
        <f t="shared" si="9"/>
        <v>18.000000000000014</v>
      </c>
      <c r="J16" s="7">
        <f t="shared" si="9"/>
        <v>35.888543819998297</v>
      </c>
      <c r="K16" s="7">
        <f t="shared" si="9"/>
        <v>131.96969000988292</v>
      </c>
      <c r="L16" s="7">
        <f t="shared" si="9"/>
        <v>3203.9987515607099</v>
      </c>
      <c r="M16" s="7">
        <f t="shared" si="9"/>
        <v>8.0000000000000018</v>
      </c>
    </row>
    <row r="17" spans="2:13" x14ac:dyDescent="0.3">
      <c r="B17" s="12" t="s">
        <v>48</v>
      </c>
      <c r="C17" s="8">
        <f t="shared" ref="C17:M17" si="10">-C7</f>
        <v>-4.5</v>
      </c>
      <c r="D17" s="8">
        <f t="shared" si="10"/>
        <v>-4</v>
      </c>
      <c r="E17" s="8">
        <f t="shared" si="10"/>
        <v>-3.5</v>
      </c>
      <c r="F17" s="8">
        <f t="shared" si="10"/>
        <v>-3</v>
      </c>
      <c r="G17" s="8">
        <f t="shared" si="10"/>
        <v>-2.5</v>
      </c>
      <c r="H17" s="8">
        <f t="shared" si="10"/>
        <v>-2</v>
      </c>
      <c r="I17" s="8">
        <f t="shared" si="10"/>
        <v>-1.5</v>
      </c>
      <c r="J17" s="8">
        <f t="shared" si="10"/>
        <v>-1</v>
      </c>
      <c r="K17" s="8">
        <f t="shared" si="10"/>
        <v>-0.5</v>
      </c>
      <c r="L17" s="8">
        <f t="shared" si="10"/>
        <v>-0.1</v>
      </c>
      <c r="M17" s="8">
        <f t="shared" si="10"/>
        <v>0</v>
      </c>
    </row>
    <row r="18" spans="2:13" x14ac:dyDescent="0.3">
      <c r="B18" s="12"/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</row>
    <row r="19" spans="2:13" x14ac:dyDescent="0.3">
      <c r="B19" s="12" t="s">
        <v>53</v>
      </c>
      <c r="C19" s="13">
        <f>DEGREES(ATAN((C3-C5)/C7))</f>
        <v>23.962488974578182</v>
      </c>
      <c r="D19" s="13">
        <f t="shared" ref="D19:L19" si="11">DEGREES(ATAN((D3-D5)/D7))</f>
        <v>26.56505117707799</v>
      </c>
      <c r="E19" s="13">
        <f t="shared" si="11"/>
        <v>29.744881296942221</v>
      </c>
      <c r="F19" s="13">
        <f t="shared" si="11"/>
        <v>33.690067525979785</v>
      </c>
      <c r="G19" s="13">
        <f t="shared" si="11"/>
        <v>38.659808254090095</v>
      </c>
      <c r="H19" s="13">
        <f t="shared" si="11"/>
        <v>45</v>
      </c>
      <c r="I19" s="13">
        <f t="shared" si="11"/>
        <v>53.13010235415598</v>
      </c>
      <c r="J19" s="13">
        <f t="shared" si="11"/>
        <v>63.43494882292201</v>
      </c>
      <c r="K19" s="13">
        <f t="shared" si="11"/>
        <v>75.963756532073532</v>
      </c>
      <c r="L19" s="13">
        <f t="shared" si="11"/>
        <v>87.137594773888253</v>
      </c>
      <c r="M19" s="13"/>
    </row>
    <row r="20" spans="2:13" x14ac:dyDescent="0.3">
      <c r="B20" s="12" t="s">
        <v>52</v>
      </c>
      <c r="C20" s="8">
        <f>C16*COS(RADIANS(C19))/(1-C12*SIN(RADIANS(C9-C19)))</f>
        <v>28.970590675091952</v>
      </c>
      <c r="D20" s="8">
        <f t="shared" ref="D20:M20" si="12">D16*COS(RADIANS(D19))/(1-D12*SIN(RADIANS(D9-D19)))</f>
        <v>16.944271909999163</v>
      </c>
      <c r="E20" s="8">
        <f t="shared" si="12"/>
        <v>10.721347264616696</v>
      </c>
      <c r="F20" s="8">
        <f t="shared" si="12"/>
        <v>7.0231839396146007</v>
      </c>
      <c r="G20" s="8">
        <f t="shared" si="12"/>
        <v>4.6468443640515904</v>
      </c>
      <c r="H20" s="8">
        <f t="shared" si="12"/>
        <v>3.0448154998549666</v>
      </c>
      <c r="I20" s="8">
        <f t="shared" si="12"/>
        <v>1.9285714285714286</v>
      </c>
      <c r="J20" s="8">
        <f t="shared" si="12"/>
        <v>1.1254368974193008</v>
      </c>
      <c r="K20" s="8">
        <f t="shared" si="12"/>
        <v>0.51562870082630907</v>
      </c>
      <c r="L20" s="8">
        <f t="shared" si="12"/>
        <v>0.10012500004876726</v>
      </c>
      <c r="M20" s="8">
        <f t="shared" si="12"/>
        <v>8.0004189009540614</v>
      </c>
    </row>
    <row r="22" spans="2:13" x14ac:dyDescent="0.3">
      <c r="B22" s="1" t="s">
        <v>25</v>
      </c>
      <c r="C22" s="1" t="s">
        <v>19</v>
      </c>
      <c r="D22" s="1" t="s">
        <v>19</v>
      </c>
      <c r="E22" s="1" t="s">
        <v>19</v>
      </c>
      <c r="F22" s="1" t="s">
        <v>19</v>
      </c>
      <c r="G22" s="1" t="s">
        <v>19</v>
      </c>
      <c r="H22" s="1" t="s">
        <v>19</v>
      </c>
      <c r="I22" s="1" t="s">
        <v>19</v>
      </c>
      <c r="J22" s="1" t="s">
        <v>19</v>
      </c>
      <c r="K22" s="1" t="s">
        <v>19</v>
      </c>
      <c r="L22" s="1" t="s">
        <v>19</v>
      </c>
      <c r="M22" s="1" t="s">
        <v>19</v>
      </c>
    </row>
    <row r="23" spans="2:13" x14ac:dyDescent="0.3">
      <c r="B23" s="6">
        <v>0</v>
      </c>
      <c r="C23" s="7">
        <f t="shared" ref="C23:M37" si="13">C$16/(1+C$12*COS(RADIANS($B23)))</f>
        <v>1.5481841942490477</v>
      </c>
      <c r="D23" s="7">
        <f t="shared" si="13"/>
        <v>1.5923591472464012</v>
      </c>
      <c r="E23" s="7">
        <f t="shared" si="13"/>
        <v>1.6419720161090245</v>
      </c>
      <c r="F23" s="7">
        <f t="shared" si="13"/>
        <v>1.6972243622680057</v>
      </c>
      <c r="G23" s="7">
        <f t="shared" si="13"/>
        <v>1.7577142236559387</v>
      </c>
      <c r="H23" s="7">
        <f t="shared" si="13"/>
        <v>1.8218544151266949</v>
      </c>
      <c r="I23" s="7">
        <f t="shared" si="13"/>
        <v>1.8860009363293826</v>
      </c>
      <c r="J23" s="7">
        <f t="shared" si="13"/>
        <v>1.9435188240589352</v>
      </c>
      <c r="K23" s="7">
        <f t="shared" si="13"/>
        <v>1.9847880306702224</v>
      </c>
      <c r="L23" s="7">
        <f t="shared" si="13"/>
        <v>1.9993756826492166</v>
      </c>
      <c r="M23" s="7">
        <f t="shared" si="13"/>
        <v>2.0000000000000004</v>
      </c>
    </row>
    <row r="24" spans="2:13" x14ac:dyDescent="0.3">
      <c r="B24" s="17">
        <v>6.43</v>
      </c>
      <c r="C24" s="7">
        <f t="shared" si="13"/>
        <v>1.5547671185015477</v>
      </c>
      <c r="D24" s="7">
        <f t="shared" si="13"/>
        <v>1.5993603968102328</v>
      </c>
      <c r="E24" s="7">
        <f t="shared" si="13"/>
        <v>1.6494793214529302</v>
      </c>
      <c r="F24" s="7">
        <f t="shared" si="13"/>
        <v>1.7053445093409845</v>
      </c>
      <c r="G24" s="7">
        <f t="shared" si="13"/>
        <v>1.7665709126986109</v>
      </c>
      <c r="H24" s="7">
        <f t="shared" si="13"/>
        <v>1.8315753630268932</v>
      </c>
      <c r="I24" s="7">
        <f t="shared" si="13"/>
        <v>1.8966820415400094</v>
      </c>
      <c r="J24" s="7">
        <f t="shared" si="13"/>
        <v>1.955151821009506</v>
      </c>
      <c r="K24" s="7">
        <f t="shared" si="13"/>
        <v>1.9971623957973785</v>
      </c>
      <c r="L24" s="7">
        <f t="shared" si="13"/>
        <v>2.0120245902697738</v>
      </c>
      <c r="M24" s="7">
        <f t="shared" si="13"/>
        <v>2.0094806019635185</v>
      </c>
    </row>
    <row r="25" spans="2:13" x14ac:dyDescent="0.3">
      <c r="B25" s="6">
        <f>B24+$B$24</f>
        <v>12.86</v>
      </c>
      <c r="C25" s="7">
        <f t="shared" si="13"/>
        <v>1.5747707890710245</v>
      </c>
      <c r="D25" s="7">
        <f t="shared" si="13"/>
        <v>1.620647631357939</v>
      </c>
      <c r="E25" s="7">
        <f t="shared" si="13"/>
        <v>1.6723213237793759</v>
      </c>
      <c r="F25" s="7">
        <f t="shared" si="13"/>
        <v>1.7300722821208443</v>
      </c>
      <c r="G25" s="7">
        <f t="shared" si="13"/>
        <v>1.7935692736929998</v>
      </c>
      <c r="H25" s="7">
        <f t="shared" si="13"/>
        <v>1.8612437762702265</v>
      </c>
      <c r="I25" s="7">
        <f t="shared" si="13"/>
        <v>1.9293239512898324</v>
      </c>
      <c r="J25" s="7">
        <f t="shared" si="13"/>
        <v>1.9907489917985846</v>
      </c>
      <c r="K25" s="7">
        <f t="shared" si="13"/>
        <v>2.0350662578449685</v>
      </c>
      <c r="L25" s="7">
        <f t="shared" si="13"/>
        <v>2.0507837722152416</v>
      </c>
      <c r="M25" s="7">
        <f t="shared" si="13"/>
        <v>2.0383461609706668</v>
      </c>
    </row>
    <row r="26" spans="2:13" x14ac:dyDescent="0.3">
      <c r="B26" s="6">
        <f t="shared" ref="B26:B37" si="14">B25+$B$24</f>
        <v>19.29</v>
      </c>
      <c r="C26" s="7">
        <f t="shared" si="13"/>
        <v>1.6089833124149984</v>
      </c>
      <c r="D26" s="7">
        <f t="shared" si="13"/>
        <v>1.6570987205419871</v>
      </c>
      <c r="E26" s="7">
        <f t="shared" si="13"/>
        <v>1.7114911065617888</v>
      </c>
      <c r="F26" s="7">
        <f t="shared" si="13"/>
        <v>1.7725499411723766</v>
      </c>
      <c r="G26" s="7">
        <f t="shared" si="13"/>
        <v>1.840044758881765</v>
      </c>
      <c r="H26" s="7">
        <f t="shared" si="13"/>
        <v>1.912441046209751</v>
      </c>
      <c r="I26" s="7">
        <f t="shared" si="13"/>
        <v>1.9858055482801695</v>
      </c>
      <c r="J26" s="7">
        <f t="shared" si="13"/>
        <v>2.0525092845888961</v>
      </c>
      <c r="K26" s="7">
        <f t="shared" si="13"/>
        <v>2.1009651559353637</v>
      </c>
      <c r="L26" s="7">
        <f t="shared" si="13"/>
        <v>2.1182213366103086</v>
      </c>
      <c r="M26" s="7">
        <f t="shared" si="13"/>
        <v>2.0879137656267157</v>
      </c>
    </row>
    <row r="27" spans="2:13" x14ac:dyDescent="0.3">
      <c r="B27" s="6">
        <f t="shared" si="14"/>
        <v>25.72</v>
      </c>
      <c r="C27" s="7">
        <f t="shared" si="13"/>
        <v>1.6588002754362847</v>
      </c>
      <c r="D27" s="7">
        <f t="shared" si="13"/>
        <v>1.7102731427914366</v>
      </c>
      <c r="E27" s="7">
        <f t="shared" si="13"/>
        <v>1.7687595837017087</v>
      </c>
      <c r="F27" s="7">
        <f t="shared" si="13"/>
        <v>1.834823845493172</v>
      </c>
      <c r="G27" s="7">
        <f t="shared" si="13"/>
        <v>1.9084030622071035</v>
      </c>
      <c r="H27" s="7">
        <f t="shared" si="13"/>
        <v>1.9880342586433246</v>
      </c>
      <c r="I27" s="7">
        <f t="shared" si="13"/>
        <v>2.0695574529000491</v>
      </c>
      <c r="J27" s="7">
        <f t="shared" si="13"/>
        <v>2.1444757232152702</v>
      </c>
      <c r="K27" s="7">
        <f t="shared" si="13"/>
        <v>2.1994166949326512</v>
      </c>
      <c r="L27" s="7">
        <f t="shared" si="13"/>
        <v>2.2190939048123441</v>
      </c>
      <c r="M27" s="7">
        <f t="shared" si="13"/>
        <v>2.1605407215737693</v>
      </c>
    </row>
    <row r="28" spans="2:13" x14ac:dyDescent="0.3">
      <c r="B28" s="6">
        <f t="shared" si="14"/>
        <v>32.15</v>
      </c>
      <c r="C28" s="7">
        <f t="shared" si="13"/>
        <v>1.7263631175759573</v>
      </c>
      <c r="D28" s="7">
        <f t="shared" si="13"/>
        <v>1.7825754874738804</v>
      </c>
      <c r="E28" s="7">
        <f t="shared" si="13"/>
        <v>1.8468734584690638</v>
      </c>
      <c r="F28" s="7">
        <f t="shared" si="13"/>
        <v>1.920090529463911</v>
      </c>
      <c r="G28" s="7">
        <f t="shared" si="13"/>
        <v>2.0024340872187874</v>
      </c>
      <c r="H28" s="7">
        <f t="shared" si="13"/>
        <v>2.0925852001094976</v>
      </c>
      <c r="I28" s="7">
        <f t="shared" si="13"/>
        <v>2.186098170051114</v>
      </c>
      <c r="J28" s="7">
        <f t="shared" si="13"/>
        <v>2.2732224599273203</v>
      </c>
      <c r="K28" s="7">
        <f t="shared" si="13"/>
        <v>2.337893974947709</v>
      </c>
      <c r="L28" s="7">
        <f t="shared" si="13"/>
        <v>2.3612250219773938</v>
      </c>
      <c r="M28" s="7">
        <f t="shared" si="13"/>
        <v>2.2599038601820434</v>
      </c>
    </row>
    <row r="29" spans="2:13" x14ac:dyDescent="0.3">
      <c r="B29" s="6">
        <f t="shared" si="14"/>
        <v>38.58</v>
      </c>
      <c r="C29" s="7">
        <f t="shared" si="13"/>
        <v>1.8147879753910705</v>
      </c>
      <c r="D29" s="7">
        <f t="shared" si="13"/>
        <v>1.8775283528243996</v>
      </c>
      <c r="E29" s="7">
        <f t="shared" si="13"/>
        <v>1.9498892954808593</v>
      </c>
      <c r="F29" s="7">
        <f t="shared" si="13"/>
        <v>2.0331175150212397</v>
      </c>
      <c r="G29" s="7">
        <f t="shared" si="13"/>
        <v>2.1278573949035517</v>
      </c>
      <c r="H29" s="7">
        <f t="shared" si="13"/>
        <v>2.2330740558050435</v>
      </c>
      <c r="I29" s="7">
        <f t="shared" si="13"/>
        <v>2.3440020694987851</v>
      </c>
      <c r="J29" s="7">
        <f t="shared" si="13"/>
        <v>2.4491200262636443</v>
      </c>
      <c r="K29" s="7">
        <f t="shared" si="13"/>
        <v>2.5283254108498938</v>
      </c>
      <c r="L29" s="7">
        <f t="shared" si="13"/>
        <v>2.5571571096828767</v>
      </c>
      <c r="M29" s="7">
        <f t="shared" si="13"/>
        <v>2.3914758715270148</v>
      </c>
    </row>
    <row r="30" spans="2:13" x14ac:dyDescent="0.3">
      <c r="B30" s="6">
        <f t="shared" si="14"/>
        <v>45.01</v>
      </c>
      <c r="C30" s="7">
        <f t="shared" si="13"/>
        <v>1.9285329835891145</v>
      </c>
      <c r="D30" s="7">
        <f t="shared" si="13"/>
        <v>2.0002157766624284</v>
      </c>
      <c r="E30" s="7">
        <f t="shared" si="13"/>
        <v>2.0837244476218344</v>
      </c>
      <c r="F30" s="7">
        <f t="shared" si="13"/>
        <v>2.1809497538031906</v>
      </c>
      <c r="G30" s="7">
        <f t="shared" si="13"/>
        <v>2.2932575475715846</v>
      </c>
      <c r="H30" s="7">
        <f t="shared" si="13"/>
        <v>2.4201715314630015</v>
      </c>
      <c r="I30" s="7">
        <f t="shared" si="13"/>
        <v>2.5566480593674745</v>
      </c>
      <c r="J30" s="7">
        <f t="shared" si="13"/>
        <v>2.6886835162584193</v>
      </c>
      <c r="K30" s="7">
        <f t="shared" si="13"/>
        <v>2.7900129902544859</v>
      </c>
      <c r="L30" s="7">
        <f t="shared" si="13"/>
        <v>2.8273065986127821</v>
      </c>
      <c r="M30" s="7">
        <f t="shared" si="13"/>
        <v>2.563322007076656</v>
      </c>
    </row>
    <row r="31" spans="2:13" x14ac:dyDescent="0.3">
      <c r="B31" s="6">
        <f t="shared" si="14"/>
        <v>51.44</v>
      </c>
      <c r="C31" s="7">
        <f t="shared" si="13"/>
        <v>2.0739909142982542</v>
      </c>
      <c r="D31" s="7">
        <f t="shared" si="13"/>
        <v>2.1580099992544612</v>
      </c>
      <c r="E31" s="7">
        <f t="shared" si="13"/>
        <v>2.2570772070320815</v>
      </c>
      <c r="F31" s="7">
        <f t="shared" si="13"/>
        <v>2.3741167112436159</v>
      </c>
      <c r="G31" s="7">
        <f t="shared" si="13"/>
        <v>2.5117265609766077</v>
      </c>
      <c r="H31" s="7">
        <f t="shared" si="13"/>
        <v>2.6705453173295224</v>
      </c>
      <c r="I31" s="7">
        <f t="shared" si="13"/>
        <v>2.8455048921654971</v>
      </c>
      <c r="J31" s="7">
        <f t="shared" si="13"/>
        <v>3.0191431089627128</v>
      </c>
      <c r="K31" s="7">
        <f t="shared" si="13"/>
        <v>3.155471905137317</v>
      </c>
      <c r="L31" s="7">
        <f t="shared" si="13"/>
        <v>3.2063429010871238</v>
      </c>
      <c r="M31" s="7">
        <f t="shared" si="13"/>
        <v>2.7874549682492655</v>
      </c>
    </row>
    <row r="32" spans="2:13" x14ac:dyDescent="0.3">
      <c r="B32" s="6">
        <f t="shared" si="14"/>
        <v>57.87</v>
      </c>
      <c r="C32" s="7">
        <f t="shared" si="13"/>
        <v>2.2604688773681731</v>
      </c>
      <c r="D32" s="7">
        <f t="shared" si="13"/>
        <v>2.3617964810063508</v>
      </c>
      <c r="E32" s="7">
        <f t="shared" si="13"/>
        <v>2.4830147617233504</v>
      </c>
      <c r="F32" s="7">
        <f t="shared" si="13"/>
        <v>2.628775928084095</v>
      </c>
      <c r="G32" s="7">
        <f t="shared" si="13"/>
        <v>2.8038830688343843</v>
      </c>
      <c r="H32" s="7">
        <f t="shared" si="13"/>
        <v>3.0112766001658953</v>
      </c>
      <c r="I32" s="7">
        <f t="shared" si="13"/>
        <v>3.2467177922486137</v>
      </c>
      <c r="J32" s="7">
        <f t="shared" si="13"/>
        <v>3.4880417872173552</v>
      </c>
      <c r="K32" s="7">
        <f t="shared" si="13"/>
        <v>3.6831518806315162</v>
      </c>
      <c r="L32" s="7">
        <f t="shared" si="13"/>
        <v>3.7572771661973188</v>
      </c>
      <c r="M32" s="7">
        <f t="shared" si="13"/>
        <v>3.0822266691336631</v>
      </c>
    </row>
    <row r="33" spans="2:13" x14ac:dyDescent="0.3">
      <c r="B33" s="6">
        <f t="shared" si="14"/>
        <v>64.3</v>
      </c>
      <c r="C33" s="7">
        <f t="shared" si="13"/>
        <v>2.5018701345258774</v>
      </c>
      <c r="D33" s="7">
        <f t="shared" si="13"/>
        <v>2.6281279750873927</v>
      </c>
      <c r="E33" s="7">
        <f t="shared" si="13"/>
        <v>2.7818484640101273</v>
      </c>
      <c r="F33" s="7">
        <f t="shared" si="13"/>
        <v>2.9707360809531758</v>
      </c>
      <c r="G33" s="7">
        <f t="shared" si="13"/>
        <v>3.2037925400591529</v>
      </c>
      <c r="H33" s="7">
        <f t="shared" si="13"/>
        <v>3.4889880310024322</v>
      </c>
      <c r="I33" s="7">
        <f t="shared" si="13"/>
        <v>3.8255670289202199</v>
      </c>
      <c r="J33" s="7">
        <f t="shared" si="13"/>
        <v>4.18565141120399</v>
      </c>
      <c r="K33" s="7">
        <f t="shared" si="13"/>
        <v>4.4886762330974701</v>
      </c>
      <c r="L33" s="7">
        <f t="shared" si="13"/>
        <v>4.6067237768257447</v>
      </c>
      <c r="M33" s="7">
        <f t="shared" si="13"/>
        <v>3.4767836087549933</v>
      </c>
    </row>
    <row r="34" spans="2:13" x14ac:dyDescent="0.3">
      <c r="B34" s="6">
        <f t="shared" si="14"/>
        <v>70.72999999999999</v>
      </c>
      <c r="C34" s="7">
        <f t="shared" si="13"/>
        <v>2.8197295706384153</v>
      </c>
      <c r="D34" s="7">
        <f t="shared" si="13"/>
        <v>2.9832302760733351</v>
      </c>
      <c r="E34" s="7">
        <f t="shared" si="13"/>
        <v>3.1866811175682432</v>
      </c>
      <c r="F34" s="7">
        <f t="shared" si="13"/>
        <v>3.4435812067764386</v>
      </c>
      <c r="G34" s="7">
        <f t="shared" si="13"/>
        <v>3.7716199768503089</v>
      </c>
      <c r="H34" s="7">
        <f t="shared" si="13"/>
        <v>4.1907569161744975</v>
      </c>
      <c r="I34" s="7">
        <f t="shared" si="13"/>
        <v>4.7124198576964123</v>
      </c>
      <c r="J34" s="7">
        <f t="shared" si="13"/>
        <v>5.3057760603495243</v>
      </c>
      <c r="K34" s="7">
        <f t="shared" si="13"/>
        <v>5.8359556848997762</v>
      </c>
      <c r="L34" s="7">
        <f t="shared" si="13"/>
        <v>6.0506785469045816</v>
      </c>
      <c r="M34" s="7">
        <f t="shared" si="13"/>
        <v>4.0199782401855177</v>
      </c>
    </row>
    <row r="35" spans="2:13" x14ac:dyDescent="0.3">
      <c r="B35" s="6">
        <f t="shared" si="14"/>
        <v>77.16</v>
      </c>
      <c r="C35" s="7">
        <f t="shared" si="13"/>
        <v>3.2490552854227297</v>
      </c>
      <c r="D35" s="7">
        <f t="shared" si="13"/>
        <v>3.4710081094103855</v>
      </c>
      <c r="E35" s="7">
        <f t="shared" si="13"/>
        <v>3.7550298790347765</v>
      </c>
      <c r="F35" s="7">
        <f t="shared" si="13"/>
        <v>4.1267395195329009</v>
      </c>
      <c r="G35" s="7">
        <f t="shared" si="13"/>
        <v>4.6239903865130518</v>
      </c>
      <c r="H35" s="7">
        <f t="shared" si="13"/>
        <v>5.2993645987311861</v>
      </c>
      <c r="I35" s="7">
        <f t="shared" si="13"/>
        <v>6.2096216304492247</v>
      </c>
      <c r="J35" s="7">
        <f t="shared" si="13"/>
        <v>7.3520985160287946</v>
      </c>
      <c r="K35" s="7">
        <f t="shared" si="13"/>
        <v>8.4846584438336556</v>
      </c>
      <c r="L35" s="7">
        <f t="shared" si="13"/>
        <v>8.9773005872060878</v>
      </c>
      <c r="M35" s="7">
        <f t="shared" si="13"/>
        <v>4.7999394859508513</v>
      </c>
    </row>
    <row r="36" spans="2:13" x14ac:dyDescent="0.3">
      <c r="B36" s="6">
        <f t="shared" si="14"/>
        <v>83.59</v>
      </c>
      <c r="C36" s="7">
        <f t="shared" si="13"/>
        <v>3.8505361994463381</v>
      </c>
      <c r="D36" s="7">
        <f t="shared" si="13"/>
        <v>4.1706198438349071</v>
      </c>
      <c r="E36" s="7">
        <f t="shared" si="13"/>
        <v>4.5959928011638418</v>
      </c>
      <c r="F36" s="7">
        <f t="shared" si="13"/>
        <v>5.1812983919349715</v>
      </c>
      <c r="G36" s="7">
        <f t="shared" si="13"/>
        <v>6.0197059120244072</v>
      </c>
      <c r="H36" s="7">
        <f t="shared" si="13"/>
        <v>7.2733322909707692</v>
      </c>
      <c r="I36" s="7">
        <f t="shared" si="13"/>
        <v>9.2124724272975858</v>
      </c>
      <c r="J36" s="7">
        <f t="shared" si="13"/>
        <v>12.165944344525068</v>
      </c>
      <c r="K36" s="7">
        <f t="shared" si="13"/>
        <v>15.877919194032929</v>
      </c>
      <c r="L36" s="7">
        <f t="shared" si="13"/>
        <v>17.820266470238483</v>
      </c>
      <c r="M36" s="7">
        <f t="shared" si="13"/>
        <v>5.9928364905187648</v>
      </c>
    </row>
    <row r="37" spans="2:13" x14ac:dyDescent="0.3">
      <c r="B37" s="6">
        <f t="shared" si="14"/>
        <v>90.02000000000001</v>
      </c>
      <c r="C37" s="7">
        <f t="shared" si="13"/>
        <v>4.7389825419907927</v>
      </c>
      <c r="D37" s="7">
        <f t="shared" si="13"/>
        <v>5.2402536216118003</v>
      </c>
      <c r="E37" s="7">
        <f t="shared" si="13"/>
        <v>5.9441259984927477</v>
      </c>
      <c r="F37" s="7">
        <f t="shared" si="13"/>
        <v>6.990311126579595</v>
      </c>
      <c r="G37" s="7">
        <f t="shared" si="13"/>
        <v>8.6698801352958323</v>
      </c>
      <c r="H37" s="7">
        <f t="shared" si="13"/>
        <v>11.678861640278997</v>
      </c>
      <c r="I37" s="7">
        <f t="shared" si="13"/>
        <v>18.053844143550656</v>
      </c>
      <c r="J37" s="7">
        <f t="shared" si="13"/>
        <v>36.108687610452712</v>
      </c>
      <c r="K37" s="7">
        <f t="shared" si="13"/>
        <v>135.05716728489205</v>
      </c>
      <c r="L37" s="7">
        <f t="shared" si="13"/>
        <v>7265.7779874227226</v>
      </c>
      <c r="M37" s="7">
        <f t="shared" si="13"/>
        <v>8.0083863624174558</v>
      </c>
    </row>
    <row r="38" spans="2:13" x14ac:dyDescent="0.3">
      <c r="B38" s="6"/>
    </row>
    <row r="39" spans="2:13" x14ac:dyDescent="0.3">
      <c r="B39" s="6" t="s">
        <v>45</v>
      </c>
      <c r="C39" s="1" t="s">
        <v>1</v>
      </c>
      <c r="D39" s="1" t="s">
        <v>1</v>
      </c>
      <c r="E39" s="1" t="s">
        <v>1</v>
      </c>
      <c r="F39" s="1" t="s">
        <v>1</v>
      </c>
      <c r="G39" s="1" t="s">
        <v>1</v>
      </c>
      <c r="H39" s="1" t="s">
        <v>1</v>
      </c>
      <c r="I39" s="1" t="s">
        <v>1</v>
      </c>
      <c r="J39" s="1" t="s">
        <v>1</v>
      </c>
      <c r="K39" s="1" t="s">
        <v>1</v>
      </c>
      <c r="L39" s="1" t="s">
        <v>1</v>
      </c>
      <c r="M39" s="1" t="s">
        <v>2</v>
      </c>
    </row>
    <row r="40" spans="2:13" x14ac:dyDescent="0.3">
      <c r="B40" s="6">
        <f>B23</f>
        <v>0</v>
      </c>
      <c r="C40" s="7">
        <f>-C23*COS(RADIANS($B40))</f>
        <v>-1.5481841942490477</v>
      </c>
      <c r="D40" s="7">
        <f t="shared" ref="D40:L40" si="15">-D23*COS(RADIANS($B40))</f>
        <v>-1.5923591472464012</v>
      </c>
      <c r="E40" s="7">
        <f t="shared" si="15"/>
        <v>-1.6419720161090245</v>
      </c>
      <c r="F40" s="7">
        <f t="shared" si="15"/>
        <v>-1.6972243622680057</v>
      </c>
      <c r="G40" s="7">
        <f t="shared" si="15"/>
        <v>-1.7577142236559387</v>
      </c>
      <c r="H40" s="7">
        <f t="shared" si="15"/>
        <v>-1.8218544151266949</v>
      </c>
      <c r="I40" s="7">
        <f t="shared" si="15"/>
        <v>-1.8860009363293826</v>
      </c>
      <c r="J40" s="7">
        <f t="shared" si="15"/>
        <v>-1.9435188240589352</v>
      </c>
      <c r="K40" s="7">
        <f t="shared" si="15"/>
        <v>-1.9847880306702224</v>
      </c>
      <c r="L40" s="7">
        <f t="shared" si="15"/>
        <v>-1.9993756826492166</v>
      </c>
      <c r="M40" s="8">
        <v>1</v>
      </c>
    </row>
    <row r="41" spans="2:13" x14ac:dyDescent="0.3">
      <c r="B41" s="6">
        <f t="shared" ref="B41:B71" si="16">B24</f>
        <v>6.43</v>
      </c>
      <c r="C41" s="7">
        <f t="shared" ref="C41" si="17">-C24*COS(RADIANS($B41))</f>
        <v>-1.5449867283635348</v>
      </c>
      <c r="D41" s="7">
        <f t="shared" ref="D41:L41" si="18">-D24*COS(RADIANS($B41))</f>
        <v>-1.5892994889958412</v>
      </c>
      <c r="E41" s="7">
        <f t="shared" si="18"/>
        <v>-1.6391031364304796</v>
      </c>
      <c r="F41" s="7">
        <f t="shared" si="18"/>
        <v>-1.6946168997700104</v>
      </c>
      <c r="G41" s="7">
        <f t="shared" si="18"/>
        <v>-1.7554581534132783</v>
      </c>
      <c r="H41" s="7">
        <f t="shared" si="18"/>
        <v>-1.8200536879127189</v>
      </c>
      <c r="I41" s="7">
        <f t="shared" si="18"/>
        <v>-1.8847508075222084</v>
      </c>
      <c r="J41" s="7">
        <f t="shared" si="18"/>
        <v>-1.9428527780461142</v>
      </c>
      <c r="K41" s="7">
        <f t="shared" si="18"/>
        <v>-1.984599081866034</v>
      </c>
      <c r="L41" s="7">
        <f t="shared" si="18"/>
        <v>-1.9993677844845577</v>
      </c>
      <c r="M41" s="7">
        <v>1.05</v>
      </c>
    </row>
    <row r="42" spans="2:13" x14ac:dyDescent="0.3">
      <c r="B42" s="6">
        <f t="shared" si="16"/>
        <v>12.86</v>
      </c>
      <c r="C42" s="7">
        <f t="shared" ref="C42" si="19">-C25*COS(RADIANS($B42))</f>
        <v>-1.5352705214351849</v>
      </c>
      <c r="D42" s="7">
        <f t="shared" ref="D42:L42" si="20">-D25*COS(RADIANS($B42))</f>
        <v>-1.5799966263822931</v>
      </c>
      <c r="E42" s="7">
        <f t="shared" si="20"/>
        <v>-1.6303741779973699</v>
      </c>
      <c r="F42" s="7">
        <f t="shared" si="20"/>
        <v>-1.6866765583447927</v>
      </c>
      <c r="G42" s="7">
        <f t="shared" si="20"/>
        <v>-1.7485808431061682</v>
      </c>
      <c r="H42" s="7">
        <f t="shared" si="20"/>
        <v>-1.8145578535896409</v>
      </c>
      <c r="I42" s="7">
        <f t="shared" si="20"/>
        <v>-1.8809303609584163</v>
      </c>
      <c r="J42" s="7">
        <f t="shared" si="20"/>
        <v>-1.9408146657890135</v>
      </c>
      <c r="K42" s="7">
        <f t="shared" si="20"/>
        <v>-1.9840203136355492</v>
      </c>
      <c r="L42" s="7">
        <f t="shared" si="20"/>
        <v>-1.9993435826791344</v>
      </c>
      <c r="M42" s="7">
        <v>1.1000000000000001</v>
      </c>
    </row>
    <row r="43" spans="2:13" x14ac:dyDescent="0.3">
      <c r="B43" s="6">
        <f t="shared" si="16"/>
        <v>19.29</v>
      </c>
      <c r="C43" s="7">
        <f t="shared" ref="C43" si="21">-C26*COS(RADIANS($B43))</f>
        <v>-1.5186527734475588</v>
      </c>
      <c r="D43" s="7">
        <f t="shared" ref="D43:L43" si="22">-D26*COS(RADIANS($B43))</f>
        <v>-1.564066916300251</v>
      </c>
      <c r="E43" s="7">
        <f t="shared" si="22"/>
        <v>-1.6154056388625249</v>
      </c>
      <c r="F43" s="7">
        <f t="shared" si="22"/>
        <v>-1.6730365464110104</v>
      </c>
      <c r="G43" s="7">
        <f t="shared" si="22"/>
        <v>-1.7367421121038276</v>
      </c>
      <c r="H43" s="7">
        <f t="shared" si="22"/>
        <v>-1.805073972160804</v>
      </c>
      <c r="I43" s="7">
        <f t="shared" si="22"/>
        <v>-1.8743196900511978</v>
      </c>
      <c r="J43" s="7">
        <f t="shared" si="22"/>
        <v>-1.9372785867426228</v>
      </c>
      <c r="K43" s="7">
        <f t="shared" si="22"/>
        <v>-1.9830140787407839</v>
      </c>
      <c r="L43" s="7">
        <f t="shared" si="22"/>
        <v>-1.9993014736683195</v>
      </c>
      <c r="M43" s="7">
        <v>1.1499999999999999</v>
      </c>
    </row>
    <row r="44" spans="2:13" x14ac:dyDescent="0.3">
      <c r="B44" s="6">
        <f t="shared" si="16"/>
        <v>25.72</v>
      </c>
      <c r="C44" s="7">
        <f t="shared" ref="C44" si="23">-C27*COS(RADIANS($B44))</f>
        <v>-1.4944556182516844</v>
      </c>
      <c r="D44" s="7">
        <f t="shared" ref="D44:L44" si="24">-D27*COS(RADIANS($B44))</f>
        <v>-1.5408288416864337</v>
      </c>
      <c r="E44" s="7">
        <f t="shared" si="24"/>
        <v>-1.5935207730203085</v>
      </c>
      <c r="F44" s="7">
        <f t="shared" si="24"/>
        <v>-1.6530397571089355</v>
      </c>
      <c r="G44" s="7">
        <f t="shared" si="24"/>
        <v>-1.719329156401308</v>
      </c>
      <c r="H44" s="7">
        <f t="shared" si="24"/>
        <v>-1.7910709391008039</v>
      </c>
      <c r="I44" s="7">
        <f t="shared" si="24"/>
        <v>-1.8645172710546263</v>
      </c>
      <c r="J44" s="7">
        <f t="shared" si="24"/>
        <v>-1.9320130580039221</v>
      </c>
      <c r="K44" s="7">
        <f t="shared" si="24"/>
        <v>-1.9815107854103464</v>
      </c>
      <c r="L44" s="7">
        <f t="shared" si="24"/>
        <v>-1.9992384873475133</v>
      </c>
      <c r="M44" s="7">
        <v>1.2</v>
      </c>
    </row>
    <row r="45" spans="2:13" x14ac:dyDescent="0.3">
      <c r="B45" s="6">
        <f t="shared" si="16"/>
        <v>32.15</v>
      </c>
      <c r="C45" s="7">
        <f t="shared" ref="C45" si="25">-C28*COS(RADIANS($B45))</f>
        <v>-1.4616389133066341</v>
      </c>
      <c r="D45" s="7">
        <f t="shared" ref="D45:L45" si="26">-D28*COS(RADIANS($B45))</f>
        <v>-1.5092315584549836</v>
      </c>
      <c r="E45" s="7">
        <f t="shared" si="26"/>
        <v>-1.5636699413747845</v>
      </c>
      <c r="F45" s="7">
        <f t="shared" si="26"/>
        <v>-1.6256597504681745</v>
      </c>
      <c r="G45" s="7">
        <f t="shared" si="26"/>
        <v>-1.6953765713671498</v>
      </c>
      <c r="H45" s="7">
        <f t="shared" si="26"/>
        <v>-1.7717037202371868</v>
      </c>
      <c r="I45" s="7">
        <f t="shared" si="26"/>
        <v>-1.8508772118242058</v>
      </c>
      <c r="J45" s="7">
        <f t="shared" si="26"/>
        <v>-1.9246416771796051</v>
      </c>
      <c r="K45" s="7">
        <f t="shared" si="26"/>
        <v>-1.979396324086695</v>
      </c>
      <c r="L45" s="7">
        <f t="shared" si="26"/>
        <v>-1.9991497385796191</v>
      </c>
      <c r="M45" s="7">
        <v>1.3</v>
      </c>
    </row>
    <row r="46" spans="2:13" x14ac:dyDescent="0.3">
      <c r="B46" s="6">
        <f t="shared" si="16"/>
        <v>38.58</v>
      </c>
      <c r="C46" s="7">
        <f t="shared" ref="C46" si="27">-C29*COS(RADIANS($B46))</f>
        <v>-1.4186890850159934</v>
      </c>
      <c r="D46" s="7">
        <f t="shared" ref="D46:L46" si="28">-D29*COS(RADIANS($B46))</f>
        <v>-1.4677356347294757</v>
      </c>
      <c r="E46" s="7">
        <f t="shared" si="28"/>
        <v>-1.5243029477821566</v>
      </c>
      <c r="F46" s="7">
        <f t="shared" si="28"/>
        <v>-1.589365626303491</v>
      </c>
      <c r="G46" s="7">
        <f t="shared" si="28"/>
        <v>-1.663427409457966</v>
      </c>
      <c r="H46" s="7">
        <f t="shared" si="28"/>
        <v>-1.7456792925467379</v>
      </c>
      <c r="I46" s="7">
        <f t="shared" si="28"/>
        <v>-1.8323959582861082</v>
      </c>
      <c r="J46" s="7">
        <f t="shared" si="28"/>
        <v>-1.9145706805807898</v>
      </c>
      <c r="K46" s="7">
        <f t="shared" si="28"/>
        <v>-1.9764885553467344</v>
      </c>
      <c r="L46" s="7">
        <f t="shared" si="28"/>
        <v>-1.9990273956914346</v>
      </c>
      <c r="M46" s="7">
        <v>1.4</v>
      </c>
    </row>
    <row r="47" spans="2:13" x14ac:dyDescent="0.3">
      <c r="B47" s="6">
        <f t="shared" si="16"/>
        <v>45.01</v>
      </c>
      <c r="C47" s="7">
        <f t="shared" ref="C47" si="29">-C30*COS(RADIANS($B47))</f>
        <v>-1.3634407228276348</v>
      </c>
      <c r="D47" s="7">
        <f t="shared" ref="D47:L47" si="30">-D30*COS(RADIANS($B47))</f>
        <v>-1.4141192645139127</v>
      </c>
      <c r="E47" s="7">
        <f t="shared" si="30"/>
        <v>-1.4731585050476002</v>
      </c>
      <c r="F47" s="7">
        <f t="shared" si="30"/>
        <v>-1.541895178397279</v>
      </c>
      <c r="G47" s="7">
        <f t="shared" si="30"/>
        <v>-1.6212949194531883</v>
      </c>
      <c r="H47" s="7">
        <f t="shared" si="30"/>
        <v>-1.7110209938352874</v>
      </c>
      <c r="I47" s="7">
        <f t="shared" si="30"/>
        <v>-1.8075076276852198</v>
      </c>
      <c r="J47" s="7">
        <f t="shared" si="30"/>
        <v>-1.900854498241322</v>
      </c>
      <c r="K47" s="7">
        <f t="shared" si="30"/>
        <v>-1.9724927499303457</v>
      </c>
      <c r="L47" s="7">
        <f t="shared" si="30"/>
        <v>-1.9988587103622257</v>
      </c>
      <c r="M47" s="7">
        <v>1.5</v>
      </c>
    </row>
    <row r="48" spans="2:13" x14ac:dyDescent="0.3">
      <c r="B48" s="6">
        <f t="shared" si="16"/>
        <v>51.44</v>
      </c>
      <c r="C48" s="7">
        <f t="shared" ref="C48" si="31">-C31*COS(RADIANS($B48))</f>
        <v>-1.2927887217745826</v>
      </c>
      <c r="D48" s="7">
        <f t="shared" ref="D48:L48" si="32">-D31*COS(RADIANS($B48))</f>
        <v>-1.3451606606757502</v>
      </c>
      <c r="E48" s="7">
        <f t="shared" si="32"/>
        <v>-1.4069126037675264</v>
      </c>
      <c r="F48" s="7">
        <f t="shared" si="32"/>
        <v>-1.4798672874180843</v>
      </c>
      <c r="G48" s="7">
        <f t="shared" si="32"/>
        <v>-1.5656441635429734</v>
      </c>
      <c r="H48" s="7">
        <f t="shared" si="32"/>
        <v>-1.664641268884095</v>
      </c>
      <c r="I48" s="7">
        <f t="shared" si="32"/>
        <v>-1.7736994925990988</v>
      </c>
      <c r="J48" s="7">
        <f t="shared" si="32"/>
        <v>-1.8819340691331254</v>
      </c>
      <c r="K48" s="7">
        <f t="shared" si="32"/>
        <v>-1.9669124212235767</v>
      </c>
      <c r="L48" s="7">
        <f t="shared" si="32"/>
        <v>-1.9986220344991019</v>
      </c>
      <c r="M48" s="7">
        <v>1.6</v>
      </c>
    </row>
    <row r="49" spans="2:13" x14ac:dyDescent="0.3">
      <c r="B49" s="6">
        <f t="shared" si="16"/>
        <v>57.87</v>
      </c>
      <c r="C49" s="7">
        <f t="shared" ref="C49" si="33">-C32*COS(RADIANS($B49))</f>
        <v>-1.2022124212665533</v>
      </c>
      <c r="D49" s="7">
        <f t="shared" ref="D49:L49" si="34">-D32*COS(RADIANS($B49))</f>
        <v>-1.2561027025841272</v>
      </c>
      <c r="E49" s="7">
        <f t="shared" si="34"/>
        <v>-1.3205716825473568</v>
      </c>
      <c r="F49" s="7">
        <f t="shared" si="34"/>
        <v>-1.3980936013367062</v>
      </c>
      <c r="G49" s="7">
        <f t="shared" si="34"/>
        <v>-1.4912229435586477</v>
      </c>
      <c r="H49" s="7">
        <f t="shared" si="34"/>
        <v>-1.6015235462138671</v>
      </c>
      <c r="I49" s="7">
        <f t="shared" si="34"/>
        <v>-1.7267410745034841</v>
      </c>
      <c r="J49" s="7">
        <f t="shared" si="34"/>
        <v>-1.8550873247906696</v>
      </c>
      <c r="K49" s="7">
        <f t="shared" si="34"/>
        <v>-1.9588550785365564</v>
      </c>
      <c r="L49" s="7">
        <f t="shared" si="34"/>
        <v>-1.9982780230103119</v>
      </c>
      <c r="M49" s="7">
        <v>1.7</v>
      </c>
    </row>
    <row r="50" spans="2:13" x14ac:dyDescent="0.3">
      <c r="B50" s="6">
        <f t="shared" si="16"/>
        <v>64.3</v>
      </c>
      <c r="C50" s="7">
        <f t="shared" ref="C50" si="35">-C33*COS(RADIANS($B50))</f>
        <v>-1.0849587122954085</v>
      </c>
      <c r="D50" s="7">
        <f t="shared" ref="D50:L50" si="36">-D33*COS(RADIANS($B50))</f>
        <v>-1.1397115718553155</v>
      </c>
      <c r="E50" s="7">
        <f t="shared" si="36"/>
        <v>-1.2063738583638983</v>
      </c>
      <c r="F50" s="7">
        <f t="shared" si="36"/>
        <v>-1.2882866894173435</v>
      </c>
      <c r="G50" s="7">
        <f t="shared" si="36"/>
        <v>-1.3893537401304561</v>
      </c>
      <c r="H50" s="7">
        <f t="shared" si="36"/>
        <v>-1.5130313556614139</v>
      </c>
      <c r="I50" s="7">
        <f t="shared" si="36"/>
        <v>-1.6589918957898346</v>
      </c>
      <c r="J50" s="7">
        <f t="shared" si="36"/>
        <v>-1.8151457593852858</v>
      </c>
      <c r="K50" s="7">
        <f t="shared" si="36"/>
        <v>-1.9465552262549162</v>
      </c>
      <c r="L50" s="7">
        <f t="shared" si="36"/>
        <v>-1.9977476160059278</v>
      </c>
      <c r="M50" s="7">
        <v>1.8</v>
      </c>
    </row>
    <row r="51" spans="2:13" x14ac:dyDescent="0.3">
      <c r="B51" s="6">
        <f t="shared" si="16"/>
        <v>70.72999999999999</v>
      </c>
      <c r="C51" s="7">
        <f t="shared" ref="C51" si="37">-C34*COS(RADIANS($B51))</f>
        <v>-0.93056764468251896</v>
      </c>
      <c r="D51" s="7">
        <f t="shared" ref="D51:L51" si="38">-D34*COS(RADIANS($B51))</f>
        <v>-0.98452617600581027</v>
      </c>
      <c r="E51" s="7">
        <f t="shared" si="38"/>
        <v>-1.0516690581992003</v>
      </c>
      <c r="F51" s="7">
        <f t="shared" si="38"/>
        <v>-1.1364512704448495</v>
      </c>
      <c r="G51" s="7">
        <f t="shared" si="38"/>
        <v>-1.2447106825568688</v>
      </c>
      <c r="H51" s="7">
        <f t="shared" si="38"/>
        <v>-1.383034328373032</v>
      </c>
      <c r="I51" s="7">
        <f t="shared" si="38"/>
        <v>-1.555193623315736</v>
      </c>
      <c r="J51" s="7">
        <f t="shared" si="38"/>
        <v>-1.7510131408007605</v>
      </c>
      <c r="K51" s="7">
        <f t="shared" si="38"/>
        <v>-1.925983112961845</v>
      </c>
      <c r="L51" s="7">
        <f t="shared" si="38"/>
        <v>-1.9968459893298298</v>
      </c>
      <c r="M51" s="7">
        <v>1.9</v>
      </c>
    </row>
    <row r="52" spans="2:13" x14ac:dyDescent="0.3">
      <c r="B52" s="6">
        <f t="shared" si="16"/>
        <v>77.16</v>
      </c>
      <c r="C52" s="7">
        <f t="shared" ref="C52" si="39">-C35*COS(RADIANS($B52))</f>
        <v>-0.72203504212750347</v>
      </c>
      <c r="D52" s="7">
        <f t="shared" ref="D52:L52" si="40">-D35*COS(RADIANS($B52))</f>
        <v>-0.7713594464665926</v>
      </c>
      <c r="E52" s="7">
        <f t="shared" si="40"/>
        <v>-0.83447738456877341</v>
      </c>
      <c r="F52" s="7">
        <f t="shared" si="40"/>
        <v>-0.91708213036685637</v>
      </c>
      <c r="G52" s="7">
        <f t="shared" si="40"/>
        <v>-1.0275858057886915</v>
      </c>
      <c r="H52" s="7">
        <f t="shared" si="40"/>
        <v>-1.1776736944000739</v>
      </c>
      <c r="I52" s="7">
        <f t="shared" si="40"/>
        <v>-1.3799594102486665</v>
      </c>
      <c r="J52" s="7">
        <f t="shared" si="40"/>
        <v>-1.6338511645411196</v>
      </c>
      <c r="K52" s="7">
        <f t="shared" si="40"/>
        <v>-1.8855390809805312</v>
      </c>
      <c r="L52" s="7">
        <f t="shared" si="40"/>
        <v>-1.9950185633210165</v>
      </c>
      <c r="M52" s="7">
        <v>2</v>
      </c>
    </row>
    <row r="53" spans="2:13" x14ac:dyDescent="0.3">
      <c r="B53" s="6">
        <f t="shared" si="16"/>
        <v>83.59</v>
      </c>
      <c r="C53" s="7">
        <f t="shared" ref="C53" si="41">-C36*COS(RADIANS($B53))</f>
        <v>-0.42988300913892324</v>
      </c>
      <c r="D53" s="7">
        <f t="shared" ref="D53:L53" si="42">-D36*COS(RADIANS($B53))</f>
        <v>-0.46561790763064403</v>
      </c>
      <c r="E53" s="7">
        <f t="shared" si="42"/>
        <v>-0.51310755515796203</v>
      </c>
      <c r="F53" s="7">
        <f t="shared" si="42"/>
        <v>-0.5784524618394542</v>
      </c>
      <c r="G53" s="7">
        <f t="shared" si="42"/>
        <v>-0.67205426921178135</v>
      </c>
      <c r="H53" s="7">
        <f t="shared" si="42"/>
        <v>-0.81201209643461947</v>
      </c>
      <c r="I53" s="7">
        <f t="shared" si="42"/>
        <v>-1.0285023081267199</v>
      </c>
      <c r="J53" s="7">
        <f t="shared" si="42"/>
        <v>-1.3582349296165828</v>
      </c>
      <c r="K53" s="7">
        <f t="shared" si="42"/>
        <v>-1.7726486204640775</v>
      </c>
      <c r="L53" s="7">
        <f t="shared" si="42"/>
        <v>-1.9894968848715371</v>
      </c>
      <c r="M53" s="7">
        <v>2.1</v>
      </c>
    </row>
    <row r="54" spans="2:13" x14ac:dyDescent="0.3">
      <c r="B54" s="6">
        <f t="shared" si="16"/>
        <v>90.02000000000001</v>
      </c>
      <c r="C54" s="7">
        <f t="shared" ref="C54" si="43">-C37*COS(RADIANS($B54))</f>
        <v>1.6542169374525008E-3</v>
      </c>
      <c r="D54" s="7">
        <f t="shared" ref="D54:L54" si="44">-D37*COS(RADIANS($B54))</f>
        <v>1.8291935495874402E-3</v>
      </c>
      <c r="E54" s="7">
        <f t="shared" si="44"/>
        <v>2.0748913544061682E-3</v>
      </c>
      <c r="F54" s="7">
        <f t="shared" si="44"/>
        <v>2.4400788484004307E-3</v>
      </c>
      <c r="G54" s="7">
        <f t="shared" si="44"/>
        <v>3.0263590208257007E-3</v>
      </c>
      <c r="H54" s="7">
        <f t="shared" si="44"/>
        <v>4.0766916873675521E-3</v>
      </c>
      <c r="I54" s="7">
        <f t="shared" si="44"/>
        <v>6.3019803309600714E-3</v>
      </c>
      <c r="J54" s="7">
        <f t="shared" si="44"/>
        <v>1.2604309491568539E-2</v>
      </c>
      <c r="K54" s="7">
        <f t="shared" si="44"/>
        <v>4.7143843993392429E-2</v>
      </c>
      <c r="L54" s="7">
        <f t="shared" si="44"/>
        <v>2.5362349204846604</v>
      </c>
      <c r="M54" s="7">
        <v>2.2000000000000002</v>
      </c>
    </row>
    <row r="55" spans="2:13" x14ac:dyDescent="0.3">
      <c r="B55" s="6"/>
    </row>
    <row r="56" spans="2:13" x14ac:dyDescent="0.3">
      <c r="B56" s="6"/>
      <c r="C56" s="1" t="s">
        <v>2</v>
      </c>
      <c r="D56" s="1" t="s">
        <v>2</v>
      </c>
      <c r="E56" s="1" t="s">
        <v>2</v>
      </c>
      <c r="F56" s="1" t="s">
        <v>2</v>
      </c>
      <c r="G56" s="1" t="s">
        <v>2</v>
      </c>
      <c r="H56" s="1" t="s">
        <v>2</v>
      </c>
      <c r="I56" s="1" t="s">
        <v>2</v>
      </c>
      <c r="J56" s="1" t="s">
        <v>2</v>
      </c>
      <c r="K56" s="1" t="s">
        <v>2</v>
      </c>
      <c r="L56" s="1" t="s">
        <v>2</v>
      </c>
      <c r="M56" s="1" t="s">
        <v>1</v>
      </c>
    </row>
    <row r="57" spans="2:13" x14ac:dyDescent="0.3">
      <c r="B57" s="6">
        <f>B40</f>
        <v>0</v>
      </c>
      <c r="C57" s="8">
        <f>C23*SIN(RADIANS($B57))</f>
        <v>0</v>
      </c>
      <c r="D57" s="7">
        <f t="shared" ref="D57:L57" si="45">D23*SIN(RADIANS($B57))</f>
        <v>0</v>
      </c>
      <c r="E57" s="7">
        <f t="shared" si="45"/>
        <v>0</v>
      </c>
      <c r="F57" s="7">
        <f t="shared" si="45"/>
        <v>0</v>
      </c>
      <c r="G57" s="7">
        <f t="shared" si="45"/>
        <v>0</v>
      </c>
      <c r="H57" s="7">
        <f t="shared" si="45"/>
        <v>0</v>
      </c>
      <c r="I57" s="7">
        <f t="shared" si="45"/>
        <v>0</v>
      </c>
      <c r="J57" s="7">
        <f t="shared" si="45"/>
        <v>0</v>
      </c>
      <c r="K57" s="7">
        <f t="shared" si="45"/>
        <v>0</v>
      </c>
      <c r="L57" s="7">
        <f t="shared" si="45"/>
        <v>0</v>
      </c>
      <c r="M57" s="8">
        <f>SQRT(-1+M40^2/$M$13^2)*$M$15</f>
        <v>0</v>
      </c>
    </row>
    <row r="58" spans="2:13" x14ac:dyDescent="0.3">
      <c r="B58" s="6">
        <f t="shared" si="16"/>
        <v>6.43</v>
      </c>
      <c r="C58" s="7">
        <f t="shared" ref="C58" si="46">C24*SIN(RADIANS($B58))</f>
        <v>0.17411720751880658</v>
      </c>
      <c r="D58" s="7">
        <f t="shared" ref="D58:L58" si="47">D24*SIN(RADIANS($B58))</f>
        <v>0.17911117542616781</v>
      </c>
      <c r="E58" s="7">
        <f t="shared" si="47"/>
        <v>0.18472395633643202</v>
      </c>
      <c r="F58" s="7">
        <f t="shared" si="47"/>
        <v>0.19098025697260462</v>
      </c>
      <c r="G58" s="7">
        <f t="shared" si="47"/>
        <v>0.19783695612207236</v>
      </c>
      <c r="H58" s="7">
        <f t="shared" si="47"/>
        <v>0.20511675592795192</v>
      </c>
      <c r="I58" s="7">
        <f t="shared" si="47"/>
        <v>0.21240800419184244</v>
      </c>
      <c r="J58" s="7">
        <f t="shared" si="47"/>
        <v>0.21895599109246655</v>
      </c>
      <c r="K58" s="7">
        <f t="shared" si="47"/>
        <v>0.22366072396292636</v>
      </c>
      <c r="L58" s="7">
        <f t="shared" si="47"/>
        <v>0.22532513001341509</v>
      </c>
      <c r="M58" s="7">
        <f t="shared" ref="M58:M71" si="48">SQRT(-1+M41^2/$M$13^2)*$M$15</f>
        <v>0.90553851381374195</v>
      </c>
    </row>
    <row r="59" spans="2:13" x14ac:dyDescent="0.3">
      <c r="B59" s="6">
        <f t="shared" si="16"/>
        <v>12.86</v>
      </c>
      <c r="C59" s="7">
        <f t="shared" ref="C59" si="49">C25*SIN(RADIANS($B59))</f>
        <v>0.35049602583126743</v>
      </c>
      <c r="D59" s="7">
        <f t="shared" ref="D59:L59" si="50">D25*SIN(RADIANS($B59))</f>
        <v>0.3607068139731639</v>
      </c>
      <c r="E59" s="7">
        <f t="shared" si="50"/>
        <v>0.3722078044407513</v>
      </c>
      <c r="F59" s="7">
        <f t="shared" si="50"/>
        <v>0.38506140924921517</v>
      </c>
      <c r="G59" s="7">
        <f t="shared" si="50"/>
        <v>0.39919390608795241</v>
      </c>
      <c r="H59" s="7">
        <f t="shared" si="50"/>
        <v>0.4142561896710879</v>
      </c>
      <c r="I59" s="7">
        <f t="shared" si="50"/>
        <v>0.4294087635871594</v>
      </c>
      <c r="J59" s="7">
        <f t="shared" si="50"/>
        <v>0.44308010721015273</v>
      </c>
      <c r="K59" s="7">
        <f t="shared" si="50"/>
        <v>0.45294378117004858</v>
      </c>
      <c r="L59" s="7">
        <f t="shared" si="50"/>
        <v>0.45644202127010552</v>
      </c>
      <c r="M59" s="7">
        <f t="shared" si="48"/>
        <v>1.2961481396815728</v>
      </c>
    </row>
    <row r="60" spans="2:13" x14ac:dyDescent="0.3">
      <c r="B60" s="6">
        <f t="shared" si="16"/>
        <v>19.29</v>
      </c>
      <c r="C60" s="7">
        <f t="shared" ref="C60" si="51">C26*SIN(RADIANS($B60))</f>
        <v>0.53152709557460742</v>
      </c>
      <c r="D60" s="7">
        <f t="shared" ref="D60:L60" si="52">D26*SIN(RADIANS($B60))</f>
        <v>0.54742200445078404</v>
      </c>
      <c r="E60" s="7">
        <f t="shared" si="52"/>
        <v>0.56539051086063874</v>
      </c>
      <c r="F60" s="7">
        <f t="shared" si="52"/>
        <v>0.58556127631812727</v>
      </c>
      <c r="G60" s="7">
        <f t="shared" si="52"/>
        <v>0.60785816662556114</v>
      </c>
      <c r="H60" s="7">
        <f t="shared" si="52"/>
        <v>0.63177425577136581</v>
      </c>
      <c r="I60" s="7">
        <f t="shared" si="52"/>
        <v>0.65601019433137309</v>
      </c>
      <c r="J60" s="7">
        <f t="shared" si="52"/>
        <v>0.67804575116442445</v>
      </c>
      <c r="K60" s="7">
        <f t="shared" si="52"/>
        <v>0.6940531319505352</v>
      </c>
      <c r="L60" s="7">
        <f t="shared" si="52"/>
        <v>0.69975370542702287</v>
      </c>
      <c r="M60" s="7">
        <f t="shared" si="48"/>
        <v>1.6062378404209008</v>
      </c>
    </row>
    <row r="61" spans="2:13" x14ac:dyDescent="0.3">
      <c r="B61" s="6">
        <f t="shared" si="16"/>
        <v>25.72</v>
      </c>
      <c r="C61" s="7">
        <f t="shared" ref="C61" si="53">C27*SIN(RADIANS($B61))</f>
        <v>0.71987551622726409</v>
      </c>
      <c r="D61" s="7">
        <f t="shared" ref="D61:L61" si="54">D27*SIN(RADIANS($B61))</f>
        <v>0.74221338143484117</v>
      </c>
      <c r="E61" s="7">
        <f t="shared" si="54"/>
        <v>0.76759495236055364</v>
      </c>
      <c r="F61" s="7">
        <f t="shared" si="54"/>
        <v>0.7962650974440505</v>
      </c>
      <c r="G61" s="7">
        <f t="shared" si="54"/>
        <v>0.82819653451932351</v>
      </c>
      <c r="H61" s="7">
        <f t="shared" si="54"/>
        <v>0.86275437098172836</v>
      </c>
      <c r="I61" s="7">
        <f t="shared" si="54"/>
        <v>0.89813328453696017</v>
      </c>
      <c r="J61" s="7">
        <f t="shared" si="54"/>
        <v>0.93064583551531033</v>
      </c>
      <c r="K61" s="7">
        <f t="shared" si="54"/>
        <v>0.95448876643517344</v>
      </c>
      <c r="L61" s="7">
        <f t="shared" si="54"/>
        <v>0.96302815591431401</v>
      </c>
      <c r="M61" s="7">
        <f t="shared" si="48"/>
        <v>1.8761663039293719</v>
      </c>
    </row>
    <row r="62" spans="2:13" x14ac:dyDescent="0.3">
      <c r="B62" s="6">
        <f t="shared" si="16"/>
        <v>32.15</v>
      </c>
      <c r="C62" s="7">
        <f t="shared" ref="C62" si="55">C28*SIN(RADIANS($B62))</f>
        <v>0.91866277862683676</v>
      </c>
      <c r="D62" s="7">
        <f t="shared" ref="D62:L62" si="56">D28*SIN(RADIANS($B62))</f>
        <v>0.948575495944463</v>
      </c>
      <c r="E62" s="7">
        <f t="shared" si="56"/>
        <v>0.98279086587048559</v>
      </c>
      <c r="F62" s="7">
        <f t="shared" si="56"/>
        <v>1.021752424535785</v>
      </c>
      <c r="G62" s="7">
        <f t="shared" si="56"/>
        <v>1.0655705302396017</v>
      </c>
      <c r="H62" s="7">
        <f t="shared" si="56"/>
        <v>1.1135433298327544</v>
      </c>
      <c r="I62" s="7">
        <f t="shared" si="56"/>
        <v>1.1633051000707781</v>
      </c>
      <c r="J62" s="7">
        <f t="shared" si="56"/>
        <v>1.2096672132372996</v>
      </c>
      <c r="K62" s="7">
        <f t="shared" si="56"/>
        <v>1.2440813599957516</v>
      </c>
      <c r="L62" s="7">
        <f t="shared" si="56"/>
        <v>1.2564966880772845</v>
      </c>
      <c r="M62" s="7">
        <f t="shared" si="48"/>
        <v>2.3494680248941466</v>
      </c>
    </row>
    <row r="63" spans="2:13" x14ac:dyDescent="0.3">
      <c r="B63" s="6">
        <f t="shared" si="16"/>
        <v>38.58</v>
      </c>
      <c r="C63" s="7">
        <f t="shared" ref="C63" si="57">C29*SIN(RADIANS($B63))</f>
        <v>1.1317140432461301</v>
      </c>
      <c r="D63" s="7">
        <f t="shared" ref="D63:L63" si="58">D29*SIN(RADIANS($B63))</f>
        <v>1.1708393665250438</v>
      </c>
      <c r="E63" s="7">
        <f t="shared" si="58"/>
        <v>1.215964139279391</v>
      </c>
      <c r="F63" s="7">
        <f t="shared" si="58"/>
        <v>1.2678658193243688</v>
      </c>
      <c r="G63" s="7">
        <f t="shared" si="58"/>
        <v>1.3269462485382328</v>
      </c>
      <c r="H63" s="7">
        <f t="shared" si="58"/>
        <v>1.3925600691830522</v>
      </c>
      <c r="I63" s="7">
        <f t="shared" si="58"/>
        <v>1.4617355280184314</v>
      </c>
      <c r="J63" s="7">
        <f t="shared" si="58"/>
        <v>1.5272877960967424</v>
      </c>
      <c r="K63" s="7">
        <f t="shared" si="58"/>
        <v>1.5766808090836468</v>
      </c>
      <c r="L63" s="7">
        <f t="shared" si="58"/>
        <v>1.594660451280085</v>
      </c>
      <c r="M63" s="7">
        <f t="shared" si="48"/>
        <v>2.7712812921102032</v>
      </c>
    </row>
    <row r="64" spans="2:13" x14ac:dyDescent="0.3">
      <c r="B64" s="6">
        <f t="shared" si="16"/>
        <v>45.01</v>
      </c>
      <c r="C64" s="7">
        <f t="shared" ref="C64" si="59">C30*SIN(RADIANS($B64))</f>
        <v>1.3639167365079103</v>
      </c>
      <c r="D64" s="7">
        <f t="shared" ref="D64:L64" si="60">D30*SIN(RADIANS($B64))</f>
        <v>1.414612971430671</v>
      </c>
      <c r="E64" s="7">
        <f t="shared" si="60"/>
        <v>1.4736728241447756</v>
      </c>
      <c r="F64" s="7">
        <f t="shared" si="60"/>
        <v>1.5424334953084431</v>
      </c>
      <c r="G64" s="7">
        <f t="shared" si="60"/>
        <v>1.6218609569409206</v>
      </c>
      <c r="H64" s="7">
        <f t="shared" si="60"/>
        <v>1.7116183570991741</v>
      </c>
      <c r="I64" s="7">
        <f t="shared" si="60"/>
        <v>1.8081386770176735</v>
      </c>
      <c r="J64" s="7">
        <f t="shared" si="60"/>
        <v>1.9015181374668688</v>
      </c>
      <c r="K64" s="7">
        <f t="shared" si="60"/>
        <v>1.9731813999886074</v>
      </c>
      <c r="L64" s="7">
        <f t="shared" si="60"/>
        <v>1.9995565654835672</v>
      </c>
      <c r="M64" s="7">
        <f t="shared" si="48"/>
        <v>3.1622776601683795</v>
      </c>
    </row>
    <row r="65" spans="2:13" x14ac:dyDescent="0.3">
      <c r="B65" s="6">
        <f t="shared" si="16"/>
        <v>51.44</v>
      </c>
      <c r="C65" s="7">
        <f t="shared" ref="C65" si="61">C31*SIN(RADIANS($B65))</f>
        <v>1.6217692910658252</v>
      </c>
      <c r="D65" s="7">
        <f t="shared" ref="D65:L65" si="62">D31*SIN(RADIANS($B65))</f>
        <v>1.6874685045513056</v>
      </c>
      <c r="E65" s="7">
        <f t="shared" si="62"/>
        <v>1.7649346854384786</v>
      </c>
      <c r="F65" s="7">
        <f t="shared" si="62"/>
        <v>1.8564544083375827</v>
      </c>
      <c r="G65" s="7">
        <f t="shared" si="62"/>
        <v>1.9640592328845889</v>
      </c>
      <c r="H65" s="7">
        <f t="shared" si="62"/>
        <v>2.0882484856545664</v>
      </c>
      <c r="I65" s="7">
        <f t="shared" si="62"/>
        <v>2.2250591455715232</v>
      </c>
      <c r="J65" s="7">
        <f t="shared" si="62"/>
        <v>2.3608365618638389</v>
      </c>
      <c r="K65" s="7">
        <f t="shared" si="62"/>
        <v>2.4674396591096888</v>
      </c>
      <c r="L65" s="7">
        <f t="shared" si="62"/>
        <v>2.5072185310751163</v>
      </c>
      <c r="M65" s="7">
        <f t="shared" si="48"/>
        <v>3.5327043465311396</v>
      </c>
    </row>
    <row r="66" spans="2:13" x14ac:dyDescent="0.3">
      <c r="B66" s="6">
        <f t="shared" si="16"/>
        <v>57.87</v>
      </c>
      <c r="C66" s="7">
        <f t="shared" ref="C66" si="63">C32*SIN(RADIANS($B66))</f>
        <v>1.9142635241007284</v>
      </c>
      <c r="D66" s="7">
        <f t="shared" ref="D66:L66" si="64">D32*SIN(RADIANS($B66))</f>
        <v>2.000072153262185</v>
      </c>
      <c r="E66" s="7">
        <f t="shared" si="64"/>
        <v>2.1027250743238191</v>
      </c>
      <c r="F66" s="7">
        <f t="shared" si="64"/>
        <v>2.2261619801747927</v>
      </c>
      <c r="G66" s="7">
        <f t="shared" si="64"/>
        <v>2.3744503356146254</v>
      </c>
      <c r="H66" s="7">
        <f t="shared" si="64"/>
        <v>2.5500802131755056</v>
      </c>
      <c r="I66" s="7">
        <f t="shared" si="64"/>
        <v>2.7494620717744525</v>
      </c>
      <c r="J66" s="7">
        <f t="shared" si="64"/>
        <v>2.9538257441452838</v>
      </c>
      <c r="K66" s="7">
        <f t="shared" si="64"/>
        <v>3.1190534713420699</v>
      </c>
      <c r="L66" s="7">
        <f t="shared" si="64"/>
        <v>3.1818259924737795</v>
      </c>
      <c r="M66" s="7">
        <f t="shared" si="48"/>
        <v>3.888444419044716</v>
      </c>
    </row>
    <row r="67" spans="2:13" x14ac:dyDescent="0.3">
      <c r="B67" s="6">
        <f t="shared" si="16"/>
        <v>64.3</v>
      </c>
      <c r="C67" s="7">
        <f t="shared" ref="C67" si="65">C33*SIN(RADIANS($B67))</f>
        <v>2.2543776885532782</v>
      </c>
      <c r="D67" s="7">
        <f t="shared" ref="D67:L67" si="66">D33*SIN(RADIANS($B67))</f>
        <v>2.368145727445008</v>
      </c>
      <c r="E67" s="7">
        <f t="shared" si="66"/>
        <v>2.5066597277196809</v>
      </c>
      <c r="F67" s="7">
        <f t="shared" si="66"/>
        <v>2.6768620189593513</v>
      </c>
      <c r="G67" s="7">
        <f t="shared" si="66"/>
        <v>2.8868638389304393</v>
      </c>
      <c r="H67" s="7">
        <f t="shared" si="66"/>
        <v>3.1438469424041009</v>
      </c>
      <c r="I67" s="7">
        <f t="shared" si="66"/>
        <v>3.4471305432874355</v>
      </c>
      <c r="J67" s="7">
        <f t="shared" si="66"/>
        <v>3.7715943059003001</v>
      </c>
      <c r="K67" s="7">
        <f t="shared" si="66"/>
        <v>4.0446430097987349</v>
      </c>
      <c r="L67" s="7">
        <f t="shared" si="66"/>
        <v>4.1510129388757981</v>
      </c>
      <c r="M67" s="7">
        <f t="shared" si="48"/>
        <v>4.2332020977033453</v>
      </c>
    </row>
    <row r="68" spans="2:13" x14ac:dyDescent="0.3">
      <c r="B68" s="6">
        <f t="shared" si="16"/>
        <v>70.72999999999999</v>
      </c>
      <c r="C68" s="7">
        <f t="shared" ref="C68" si="67">C34*SIN(RADIANS($B68))</f>
        <v>2.6617510609000856</v>
      </c>
      <c r="D68" s="7">
        <f t="shared" ref="D68:L68" si="68">D34*SIN(RADIANS($B68))</f>
        <v>2.8160914560503825</v>
      </c>
      <c r="E68" s="7">
        <f t="shared" si="68"/>
        <v>3.0081437361090968</v>
      </c>
      <c r="F68" s="7">
        <f t="shared" si="68"/>
        <v>3.250650709868435</v>
      </c>
      <c r="G68" s="7">
        <f t="shared" si="68"/>
        <v>3.5603107401609115</v>
      </c>
      <c r="H68" s="7">
        <f t="shared" si="68"/>
        <v>3.9559650626624774</v>
      </c>
      <c r="I68" s="7">
        <f t="shared" si="68"/>
        <v>4.4484012531705757</v>
      </c>
      <c r="J68" s="7">
        <f t="shared" si="68"/>
        <v>5.0085140094963467</v>
      </c>
      <c r="K68" s="7">
        <f t="shared" si="68"/>
        <v>5.5089897263200465</v>
      </c>
      <c r="L68" s="7">
        <f t="shared" si="68"/>
        <v>5.7116824993051489</v>
      </c>
      <c r="M68" s="7">
        <f t="shared" si="48"/>
        <v>4.5694638635183447</v>
      </c>
    </row>
    <row r="69" spans="2:13" x14ac:dyDescent="0.3">
      <c r="B69" s="6">
        <f t="shared" si="16"/>
        <v>77.16</v>
      </c>
      <c r="C69" s="7">
        <f t="shared" ref="C69" si="69">C35*SIN(RADIANS($B69))</f>
        <v>3.167810860148268</v>
      </c>
      <c r="D69" s="7">
        <f t="shared" ref="D69:L69" si="70">D35*SIN(RADIANS($B69))</f>
        <v>3.3842136309546729</v>
      </c>
      <c r="E69" s="7">
        <f t="shared" si="70"/>
        <v>3.6611332790663584</v>
      </c>
      <c r="F69" s="7">
        <f t="shared" si="70"/>
        <v>4.0235481143185581</v>
      </c>
      <c r="G69" s="7">
        <f t="shared" si="70"/>
        <v>4.5083649482164514</v>
      </c>
      <c r="H69" s="7">
        <f t="shared" si="70"/>
        <v>5.1668510545402242</v>
      </c>
      <c r="I69" s="7">
        <f t="shared" si="70"/>
        <v>6.0543466054900623</v>
      </c>
      <c r="J69" s="7">
        <f t="shared" si="70"/>
        <v>7.1682552243569306</v>
      </c>
      <c r="K69" s="7">
        <f t="shared" si="70"/>
        <v>8.2724948644657879</v>
      </c>
      <c r="L69" s="7">
        <f t="shared" si="70"/>
        <v>8.752818218440007</v>
      </c>
      <c r="M69" s="7">
        <f t="shared" si="48"/>
        <v>4.8989794855663567</v>
      </c>
    </row>
    <row r="70" spans="2:13" x14ac:dyDescent="0.3">
      <c r="B70" s="6">
        <f t="shared" si="16"/>
        <v>83.59</v>
      </c>
      <c r="C70" s="7">
        <f t="shared" ref="C70" si="71">C36*SIN(RADIANS($B70))</f>
        <v>3.8264643761180261</v>
      </c>
      <c r="D70" s="7">
        <f t="shared" ref="D70:L70" si="72">D36*SIN(RADIANS($B70))</f>
        <v>4.1445470012877363</v>
      </c>
      <c r="E70" s="7">
        <f t="shared" si="72"/>
        <v>4.5672607178909415</v>
      </c>
      <c r="F70" s="7">
        <f t="shared" si="72"/>
        <v>5.1489072409259613</v>
      </c>
      <c r="G70" s="7">
        <f t="shared" si="72"/>
        <v>5.9820734136665203</v>
      </c>
      <c r="H70" s="7">
        <f t="shared" si="72"/>
        <v>7.2278626834024697</v>
      </c>
      <c r="I70" s="7">
        <f t="shared" si="72"/>
        <v>9.1548801863211882</v>
      </c>
      <c r="J70" s="7">
        <f t="shared" si="72"/>
        <v>12.08988832330766</v>
      </c>
      <c r="K70" s="7">
        <f t="shared" si="72"/>
        <v>15.778657572829385</v>
      </c>
      <c r="L70" s="7">
        <f t="shared" si="72"/>
        <v>17.708862166028407</v>
      </c>
      <c r="M70" s="7">
        <f t="shared" si="48"/>
        <v>5.2230259428802386</v>
      </c>
    </row>
    <row r="71" spans="2:13" x14ac:dyDescent="0.3">
      <c r="B71" s="6">
        <f t="shared" si="16"/>
        <v>90.02000000000001</v>
      </c>
      <c r="C71" s="7">
        <f t="shared" ref="C71" si="73">C37*SIN(RADIANS($B71))</f>
        <v>4.7389822532754691</v>
      </c>
      <c r="D71" s="7">
        <f t="shared" ref="D71:L71" si="74">D37*SIN(RADIANS($B71))</f>
        <v>5.2402533023572957</v>
      </c>
      <c r="E71" s="7">
        <f t="shared" si="74"/>
        <v>5.9441256363558859</v>
      </c>
      <c r="F71" s="7">
        <f t="shared" si="74"/>
        <v>6.990310700705491</v>
      </c>
      <c r="G71" s="7">
        <f t="shared" si="74"/>
        <v>8.6698796070965347</v>
      </c>
      <c r="H71" s="7">
        <f t="shared" si="74"/>
        <v>11.678860928762065</v>
      </c>
      <c r="I71" s="7">
        <f t="shared" si="74"/>
        <v>18.053843043647582</v>
      </c>
      <c r="J71" s="7">
        <f t="shared" si="74"/>
        <v>36.108685410585686</v>
      </c>
      <c r="K71" s="7">
        <f t="shared" si="74"/>
        <v>135.05715905673895</v>
      </c>
      <c r="L71" s="7">
        <f t="shared" si="74"/>
        <v>7265.7775447662179</v>
      </c>
      <c r="M71" s="7">
        <f t="shared" si="48"/>
        <v>5.5425625842204083</v>
      </c>
    </row>
    <row r="72" spans="2:13" x14ac:dyDescent="0.3">
      <c r="B72" s="6"/>
    </row>
    <row r="73" spans="2:13" x14ac:dyDescent="0.3">
      <c r="B73" s="6"/>
      <c r="C73" s="1" t="s">
        <v>49</v>
      </c>
      <c r="D73" s="1" t="s">
        <v>49</v>
      </c>
      <c r="E73" s="1" t="s">
        <v>49</v>
      </c>
      <c r="F73" s="1" t="s">
        <v>49</v>
      </c>
      <c r="G73" s="1" t="s">
        <v>49</v>
      </c>
      <c r="H73" s="1" t="s">
        <v>49</v>
      </c>
      <c r="I73" s="1" t="s">
        <v>49</v>
      </c>
      <c r="J73" s="1" t="s">
        <v>49</v>
      </c>
      <c r="K73" s="1" t="s">
        <v>49</v>
      </c>
      <c r="L73" s="1" t="s">
        <v>49</v>
      </c>
      <c r="M73" s="1"/>
    </row>
    <row r="74" spans="2:13" x14ac:dyDescent="0.3">
      <c r="B74" s="6">
        <f>B57</f>
        <v>0</v>
      </c>
      <c r="C74" s="8">
        <f>C40*SIN(RADIANS(C$9))+C57*COS(RADIANS(C$9))</f>
        <v>-1.1571272938204915</v>
      </c>
      <c r="D74" s="8">
        <f t="shared" ref="D74:L74" si="75">D40*SIN(RADIANS(D$9))+D57*COS(RADIANS(D$9))</f>
        <v>-1.1259679511023584</v>
      </c>
      <c r="E74" s="7">
        <f t="shared" si="75"/>
        <v>-1.0812461385989534</v>
      </c>
      <c r="F74" s="7">
        <f t="shared" si="75"/>
        <v>-1.0183346173608034</v>
      </c>
      <c r="G74" s="7">
        <f t="shared" si="75"/>
        <v>-0.93158667536616002</v>
      </c>
      <c r="H74" s="7">
        <f t="shared" si="75"/>
        <v>-0.81475806346628221</v>
      </c>
      <c r="I74" s="7">
        <f t="shared" si="75"/>
        <v>-0.66221913960290202</v>
      </c>
      <c r="J74" s="8">
        <f t="shared" si="75"/>
        <v>-0.47137255276301271</v>
      </c>
      <c r="K74" s="8">
        <f t="shared" si="75"/>
        <v>-0.24618265660001876</v>
      </c>
      <c r="L74" s="7">
        <f t="shared" si="75"/>
        <v>-4.9968779261830729E-2</v>
      </c>
      <c r="M74" s="7"/>
    </row>
    <row r="75" spans="2:13" x14ac:dyDescent="0.3">
      <c r="B75" s="6">
        <f t="shared" ref="B75:B88" si="76">B58</f>
        <v>6.43</v>
      </c>
      <c r="C75" s="7">
        <f t="shared" ref="C75" si="77">C41*SIN(RADIANS(C$9))+C58*COS(RADIANS(C$9))</f>
        <v>-1.039060301627946</v>
      </c>
      <c r="D75" s="7">
        <f t="shared" ref="D75:L75" si="78">D41*SIN(RADIANS(D$9))+D58*COS(RADIANS(D$9))</f>
        <v>-0.9971537192751373</v>
      </c>
      <c r="E75" s="7">
        <f t="shared" si="78"/>
        <v>-0.94033802361836161</v>
      </c>
      <c r="F75" s="7">
        <f t="shared" si="78"/>
        <v>-0.86398593428392245</v>
      </c>
      <c r="G75" s="7">
        <f t="shared" si="78"/>
        <v>-0.76262555726793091</v>
      </c>
      <c r="H75" s="7">
        <f t="shared" si="78"/>
        <v>-0.630490749942752</v>
      </c>
      <c r="I75" s="7">
        <f t="shared" si="78"/>
        <v>-0.46289637819966822</v>
      </c>
      <c r="J75" s="7">
        <f t="shared" si="78"/>
        <v>-0.25879250025674566</v>
      </c>
      <c r="K75" s="7">
        <f t="shared" si="78"/>
        <v>-2.422563210706602E-2</v>
      </c>
      <c r="L75" s="7">
        <f t="shared" si="78"/>
        <v>0.17528616703032543</v>
      </c>
      <c r="M75" s="7"/>
    </row>
    <row r="76" spans="2:13" x14ac:dyDescent="0.3">
      <c r="B76" s="6">
        <f t="shared" si="76"/>
        <v>12.86</v>
      </c>
      <c r="C76" s="7">
        <f t="shared" ref="C76" si="79">C42*SIN(RADIANS(C$9))+C59*COS(RADIANS(C$9))</f>
        <v>-0.91461860920508709</v>
      </c>
      <c r="D76" s="7">
        <f t="shared" ref="D76:L76" si="80">D42*SIN(RADIANS(D$9))+D59*COS(RADIANS(D$9))</f>
        <v>-0.86216809458616872</v>
      </c>
      <c r="E76" s="7">
        <f t="shared" si="80"/>
        <v>-0.79349398955099115</v>
      </c>
      <c r="F76" s="7">
        <f t="shared" si="80"/>
        <v>-0.70395680760750334</v>
      </c>
      <c r="G76" s="7">
        <f t="shared" si="80"/>
        <v>-0.58823023802438601</v>
      </c>
      <c r="H76" s="7">
        <f t="shared" si="80"/>
        <v>-0.44097294186467012</v>
      </c>
      <c r="I76" s="7">
        <f t="shared" si="80"/>
        <v>-0.25837078727730978</v>
      </c>
      <c r="J76" s="7">
        <f t="shared" si="80"/>
        <v>-4.0865855073300816E-2</v>
      </c>
      <c r="K76" s="7">
        <f t="shared" si="80"/>
        <v>0.20335866042869244</v>
      </c>
      <c r="L76" s="7">
        <f t="shared" si="80"/>
        <v>0.40633147295203592</v>
      </c>
      <c r="M76" s="7"/>
    </row>
    <row r="77" spans="2:13" x14ac:dyDescent="0.3">
      <c r="B77" s="6">
        <f t="shared" si="76"/>
        <v>19.29</v>
      </c>
      <c r="C77" s="7">
        <f t="shared" ref="C77" si="81">C43*SIN(RADIANS(C$9))+C60*COS(RADIANS(C$9))</f>
        <v>-0.78192785306142643</v>
      </c>
      <c r="D77" s="7">
        <f t="shared" ref="D77:L77" si="82">D43*SIN(RADIANS(D$9))+D60*COS(RADIANS(D$9))</f>
        <v>-0.7188765112275578</v>
      </c>
      <c r="E77" s="7">
        <f t="shared" si="82"/>
        <v>-0.63825233488562749</v>
      </c>
      <c r="F77" s="7">
        <f t="shared" si="82"/>
        <v>-0.53537290679210447</v>
      </c>
      <c r="G77" s="7">
        <f t="shared" si="82"/>
        <v>-0.40500878409979457</v>
      </c>
      <c r="H77" s="7">
        <f t="shared" si="82"/>
        <v>-0.24217754829777904</v>
      </c>
      <c r="I77" s="7">
        <f t="shared" si="82"/>
        <v>-4.3876094472460547E-2</v>
      </c>
      <c r="J77" s="7">
        <f t="shared" si="82"/>
        <v>0.18794192734244847</v>
      </c>
      <c r="K77" s="7">
        <f t="shared" si="82"/>
        <v>0.44273094315507117</v>
      </c>
      <c r="L77" s="7">
        <f t="shared" si="82"/>
        <v>0.64956821022690903</v>
      </c>
      <c r="M77" s="7"/>
    </row>
    <row r="78" spans="2:13" x14ac:dyDescent="0.3">
      <c r="B78" s="6">
        <f t="shared" si="76"/>
        <v>25.72</v>
      </c>
      <c r="C78" s="7">
        <f t="shared" ref="C78" si="83">C44*SIN(RADIANS(C$9))+C61*COS(RADIANS(C$9))</f>
        <v>-0.6387107940000436</v>
      </c>
      <c r="D78" s="7">
        <f t="shared" ref="D78:L78" si="84">D44*SIN(RADIANS(D$9))+D61*COS(RADIANS(D$9))</f>
        <v>-0.56470640750431655</v>
      </c>
      <c r="E78" s="7">
        <f t="shared" si="84"/>
        <v>-0.47166669964688746</v>
      </c>
      <c r="F78" s="7">
        <f t="shared" si="84"/>
        <v>-0.35481177631012084</v>
      </c>
      <c r="G78" s="7">
        <f t="shared" si="84"/>
        <v>-0.20893337375397736</v>
      </c>
      <c r="H78" s="7">
        <f t="shared" si="84"/>
        <v>-2.932030591067003E-2</v>
      </c>
      <c r="I78" s="7">
        <f t="shared" si="84"/>
        <v>0.18627267854418006</v>
      </c>
      <c r="J78" s="7">
        <f t="shared" si="84"/>
        <v>0.43427708301532625</v>
      </c>
      <c r="K78" s="7">
        <f t="shared" si="84"/>
        <v>0.70134192215131541</v>
      </c>
      <c r="L78" s="7">
        <f t="shared" si="84"/>
        <v>0.91276200016011111</v>
      </c>
      <c r="M78" s="7"/>
    </row>
    <row r="79" spans="2:13" x14ac:dyDescent="0.3">
      <c r="B79" s="6">
        <f t="shared" si="76"/>
        <v>32.15</v>
      </c>
      <c r="C79" s="7">
        <f t="shared" ref="C79" si="85">C45*SIN(RADIANS(C$9))+C62*COS(RADIANS(C$9))</f>
        <v>-0.48211621415735018</v>
      </c>
      <c r="D79" s="7">
        <f t="shared" ref="D79:L79" si="86">D45*SIN(RADIANS(D$9))+D62*COS(RADIANS(D$9))</f>
        <v>-0.39644370371453774</v>
      </c>
      <c r="E79" s="7">
        <f t="shared" si="86"/>
        <v>-0.29005836015587072</v>
      </c>
      <c r="F79" s="7">
        <f t="shared" si="86"/>
        <v>-0.15799391065227653</v>
      </c>
      <c r="G79" s="7">
        <f t="shared" si="86"/>
        <v>5.054216710169479E-3</v>
      </c>
      <c r="H79" s="7">
        <f t="shared" si="86"/>
        <v>0.20365344167107946</v>
      </c>
      <c r="I79" s="7">
        <f t="shared" si="86"/>
        <v>0.43935013103790488</v>
      </c>
      <c r="J79" s="7">
        <f t="shared" si="86"/>
        <v>0.7067554024481385</v>
      </c>
      <c r="K79" s="7">
        <f t="shared" si="86"/>
        <v>0.98896051265068841</v>
      </c>
      <c r="L79" s="7">
        <f t="shared" si="86"/>
        <v>1.20614108439913</v>
      </c>
      <c r="M79" s="7"/>
    </row>
    <row r="80" spans="2:13" x14ac:dyDescent="0.3">
      <c r="B80" s="6">
        <f t="shared" si="76"/>
        <v>38.58</v>
      </c>
      <c r="C80" s="7">
        <f t="shared" ref="C80" si="87">C46*SIN(RADIANS(C$9))+C63*COS(RADIANS(C$9))</f>
        <v>-0.30847155622701972</v>
      </c>
      <c r="D80" s="7">
        <f t="shared" ref="D80:L80" si="88">D46*SIN(RADIANS(D$9))+D63*COS(RADIANS(D$9))</f>
        <v>-0.20993736455633349</v>
      </c>
      <c r="E80" s="7">
        <f t="shared" si="88"/>
        <v>-8.8654242081137702E-2</v>
      </c>
      <c r="F80" s="7">
        <f t="shared" si="88"/>
        <v>6.0673279677400549E-2</v>
      </c>
      <c r="G80" s="7">
        <f t="shared" si="88"/>
        <v>0.24363340448137782</v>
      </c>
      <c r="H80" s="7">
        <f t="shared" si="88"/>
        <v>0.46485207796839634</v>
      </c>
      <c r="I80" s="7">
        <f t="shared" si="88"/>
        <v>0.72526844954687353</v>
      </c>
      <c r="J80" s="7">
        <f t="shared" si="88"/>
        <v>1.0173352042558481</v>
      </c>
      <c r="K80" s="7">
        <f t="shared" si="88"/>
        <v>1.3193522521116685</v>
      </c>
      <c r="L80" s="7">
        <f t="shared" si="88"/>
        <v>1.5442022785526999</v>
      </c>
      <c r="M80" s="7"/>
    </row>
    <row r="81" spans="2:13" x14ac:dyDescent="0.3">
      <c r="B81" s="6">
        <f t="shared" si="76"/>
        <v>45.01</v>
      </c>
      <c r="C81" s="7">
        <f t="shared" ref="C81" si="89">C47*SIN(RADIANS(C$9))+C64*COS(RADIANS(C$9))</f>
        <v>-0.11291134280338777</v>
      </c>
      <c r="D81" s="8">
        <f t="shared" ref="D81:L81" si="90">D47*SIN(RADIANS(D$9))+D64*COS(RADIANS(D$9))</f>
        <v>3.4910350875860807E-4</v>
      </c>
      <c r="E81" s="7">
        <f t="shared" si="90"/>
        <v>0.13897015937968282</v>
      </c>
      <c r="F81" s="7">
        <f t="shared" si="90"/>
        <v>0.30880968920838714</v>
      </c>
      <c r="G81" s="7">
        <f t="shared" si="90"/>
        <v>0.51605075207523887</v>
      </c>
      <c r="H81" s="7">
        <f t="shared" si="90"/>
        <v>0.7657261485751149</v>
      </c>
      <c r="I81" s="7">
        <f t="shared" si="90"/>
        <v>1.0583547014526347</v>
      </c>
      <c r="J81" s="7">
        <f t="shared" si="90"/>
        <v>1.3837186261197187</v>
      </c>
      <c r="K81" s="7">
        <f t="shared" si="90"/>
        <v>1.7132866352348493</v>
      </c>
      <c r="L81" s="7">
        <f t="shared" si="90"/>
        <v>1.9489761378165669</v>
      </c>
      <c r="M81" s="7"/>
    </row>
    <row r="82" spans="2:13" x14ac:dyDescent="0.3">
      <c r="B82" s="6">
        <f t="shared" si="76"/>
        <v>51.44</v>
      </c>
      <c r="C82" s="7">
        <f t="shared" ref="C82" si="91">C48*SIN(RADIANS(C$9))+C65*COS(RADIANS(C$9))</f>
        <v>0.11120253416550896</v>
      </c>
      <c r="D82" s="7">
        <f t="shared" ref="D82:L82" si="92">D48*SIN(RADIANS(D$9))+D65*COS(RADIANS(D$9))</f>
        <v>0.24204819765775132</v>
      </c>
      <c r="E82" s="7">
        <f t="shared" si="92"/>
        <v>0.40179027949160251</v>
      </c>
      <c r="F82" s="7">
        <f t="shared" si="92"/>
        <v>0.5972431542192157</v>
      </c>
      <c r="G82" s="7">
        <f t="shared" si="92"/>
        <v>0.83572915135172421</v>
      </c>
      <c r="H82" s="7">
        <f t="shared" si="92"/>
        <v>1.1233360200585736</v>
      </c>
      <c r="I82" s="7">
        <f t="shared" si="92"/>
        <v>1.4606003296304855</v>
      </c>
      <c r="J82" s="7">
        <f t="shared" si="92"/>
        <v>1.8339118288267222</v>
      </c>
      <c r="K82" s="7">
        <f t="shared" si="92"/>
        <v>2.204420325733774</v>
      </c>
      <c r="L82" s="7">
        <f t="shared" si="92"/>
        <v>2.4564854484181184</v>
      </c>
      <c r="M82" s="7"/>
    </row>
    <row r="83" spans="2:13" x14ac:dyDescent="0.3">
      <c r="B83" s="6">
        <f t="shared" si="76"/>
        <v>57.87</v>
      </c>
      <c r="C83" s="7">
        <f t="shared" ref="C83" si="93">C49*SIN(RADIANS(C$9))+C66*COS(RADIANS(C$9))</f>
        <v>0.37322269671178288</v>
      </c>
      <c r="D83" s="7">
        <f t="shared" ref="D83:L83" si="94">D49*SIN(RADIANS(D$9))+D66*COS(RADIANS(D$9))</f>
        <v>0.52606584357008568</v>
      </c>
      <c r="E83" s="7">
        <f t="shared" si="94"/>
        <v>0.71285934833377729</v>
      </c>
      <c r="F83" s="7">
        <f t="shared" si="94"/>
        <v>0.94207342333781052</v>
      </c>
      <c r="G83" s="7">
        <f t="shared" si="94"/>
        <v>1.223183278151009</v>
      </c>
      <c r="H83" s="7">
        <f t="shared" si="94"/>
        <v>1.5646379785148876</v>
      </c>
      <c r="I83" s="7">
        <f t="shared" si="94"/>
        <v>1.9681022916101534</v>
      </c>
      <c r="J83" s="7">
        <f t="shared" si="94"/>
        <v>2.4157071286036671</v>
      </c>
      <c r="K83" s="7">
        <f t="shared" si="94"/>
        <v>2.8520016861346984</v>
      </c>
      <c r="L83" s="7">
        <f t="shared" si="94"/>
        <v>3.1308907913539956</v>
      </c>
      <c r="M83" s="7"/>
    </row>
    <row r="84" spans="2:13" x14ac:dyDescent="0.3">
      <c r="B84" s="6">
        <f t="shared" si="76"/>
        <v>64.3</v>
      </c>
      <c r="C84" s="7">
        <f t="shared" ref="C84" si="95">C50*SIN(RADIANS(C$9))+C67*COS(RADIANS(C$9))</f>
        <v>0.68681876338316494</v>
      </c>
      <c r="D84" s="7">
        <f t="shared" ref="D84:L84" si="96">D50*SIN(RADIANS(D$9))+D67*COS(RADIANS(D$9))</f>
        <v>0.86863412165864218</v>
      </c>
      <c r="E84" s="7">
        <f t="shared" si="96"/>
        <v>1.0920509480973697</v>
      </c>
      <c r="F84" s="7">
        <f t="shared" si="96"/>
        <v>1.368517601517075</v>
      </c>
      <c r="G84" s="7">
        <f t="shared" si="96"/>
        <v>1.7116996297480345</v>
      </c>
      <c r="H84" s="7">
        <f t="shared" si="96"/>
        <v>2.1352939969586577</v>
      </c>
      <c r="I84" s="7">
        <f t="shared" si="96"/>
        <v>2.6451379625524809</v>
      </c>
      <c r="J84" s="7">
        <f t="shared" si="96"/>
        <v>3.2187464181754555</v>
      </c>
      <c r="K84" s="7">
        <f t="shared" si="96"/>
        <v>3.7719693169761013</v>
      </c>
      <c r="L84" s="7">
        <f t="shared" si="96"/>
        <v>4.0997882647653512</v>
      </c>
      <c r="M84" s="7"/>
    </row>
    <row r="85" spans="2:13" x14ac:dyDescent="0.3">
      <c r="B85" s="6">
        <f t="shared" si="76"/>
        <v>70.72999999999999</v>
      </c>
      <c r="C85" s="7">
        <f t="shared" ref="C85" si="97">C51*SIN(RADIANS(C$9))+C68*COS(RADIANS(C$9))</f>
        <v>1.0728562235279726</v>
      </c>
      <c r="D85" s="7">
        <f t="shared" ref="D85:L85" si="98">D51*SIN(RADIANS(D$9))+D68*COS(RADIANS(D$9))</f>
        <v>1.2951122297053552</v>
      </c>
      <c r="E85" s="7">
        <f t="shared" si="98"/>
        <v>1.5713299493472643</v>
      </c>
      <c r="F85" s="7">
        <f t="shared" si="98"/>
        <v>1.9186498056278385</v>
      </c>
      <c r="G85" s="7">
        <f t="shared" si="98"/>
        <v>2.3594421270217776</v>
      </c>
      <c r="H85" s="7">
        <f t="shared" si="98"/>
        <v>2.9198109639994327</v>
      </c>
      <c r="I85" s="7">
        <f t="shared" si="98"/>
        <v>3.6191029495233704</v>
      </c>
      <c r="J85" s="7">
        <f t="shared" si="98"/>
        <v>4.4342892366347613</v>
      </c>
      <c r="K85" s="7">
        <f t="shared" si="98"/>
        <v>5.2275598242307453</v>
      </c>
      <c r="L85" s="7">
        <f t="shared" si="98"/>
        <v>5.6599928780780129</v>
      </c>
      <c r="M85" s="7"/>
    </row>
    <row r="86" spans="2:13" x14ac:dyDescent="0.3">
      <c r="B86" s="6">
        <f t="shared" si="76"/>
        <v>77.16</v>
      </c>
      <c r="C86" s="7">
        <f t="shared" ref="C86" si="99">C52*SIN(RADIANS(C$9))+C69*COS(RADIANS(C$9))</f>
        <v>1.5649232648329678</v>
      </c>
      <c r="D86" s="7">
        <f t="shared" ref="D86:L86" si="100">D52*SIN(RADIANS(D$9))+D69*COS(RADIANS(D$9))</f>
        <v>1.8475669121031686</v>
      </c>
      <c r="E86" s="7">
        <f t="shared" si="100"/>
        <v>2.2057763791405067</v>
      </c>
      <c r="F86" s="7">
        <f t="shared" si="100"/>
        <v>2.6685892132347329</v>
      </c>
      <c r="G86" s="7">
        <f t="shared" si="100"/>
        <v>3.278466442093217</v>
      </c>
      <c r="H86" s="7">
        <f t="shared" si="100"/>
        <v>4.0947003878289898</v>
      </c>
      <c r="I86" s="7">
        <f t="shared" si="100"/>
        <v>5.1843252804576476</v>
      </c>
      <c r="J86" s="7">
        <f t="shared" si="100"/>
        <v>6.5579619316291486</v>
      </c>
      <c r="K86" s="7">
        <f t="shared" si="100"/>
        <v>7.9747412997698319</v>
      </c>
      <c r="L86" s="7">
        <f t="shared" si="100"/>
        <v>8.7002243589277573</v>
      </c>
      <c r="M86" s="7"/>
    </row>
    <row r="87" spans="2:13" x14ac:dyDescent="0.3">
      <c r="B87" s="6">
        <f t="shared" si="76"/>
        <v>83.59</v>
      </c>
      <c r="C87" s="7">
        <f t="shared" ref="C87" si="101">C53*SIN(RADIANS(C$9))+C70*COS(RADIANS(C$9))</f>
        <v>2.2208659950895013</v>
      </c>
      <c r="D87" s="7">
        <f t="shared" ref="D87:L87" si="102">D53*SIN(RADIANS(D$9))+D70*COS(RADIANS(D$9))</f>
        <v>2.6013957096294096</v>
      </c>
      <c r="E87" s="7">
        <f t="shared" si="102"/>
        <v>3.0993302855312592</v>
      </c>
      <c r="F87" s="7">
        <f t="shared" si="102"/>
        <v>3.7720543156370967</v>
      </c>
      <c r="G87" s="7">
        <f t="shared" si="102"/>
        <v>4.7166000589162804</v>
      </c>
      <c r="H87" s="7">
        <f t="shared" si="102"/>
        <v>6.1016540676128006</v>
      </c>
      <c r="I87" s="7">
        <f t="shared" si="102"/>
        <v>8.2108501654902</v>
      </c>
      <c r="J87" s="7">
        <f t="shared" si="102"/>
        <v>11.39949412685081</v>
      </c>
      <c r="K87" s="7">
        <f t="shared" si="102"/>
        <v>15.436942832599986</v>
      </c>
      <c r="L87" s="7">
        <f t="shared" si="102"/>
        <v>17.653608852863453</v>
      </c>
      <c r="M87" s="7"/>
    </row>
    <row r="88" spans="2:13" x14ac:dyDescent="0.3">
      <c r="B88" s="6">
        <f t="shared" si="76"/>
        <v>90.02000000000001</v>
      </c>
      <c r="C88" s="7">
        <f t="shared" ref="C88" si="103">C54*SIN(RADIANS(C$9))+C71*COS(RADIANS(C$9))</f>
        <v>3.1496448190871296</v>
      </c>
      <c r="D88" s="7">
        <f t="shared" ref="D88:L88" si="104">D54*SIN(RADIANS(D$9))+D71*COS(RADIANS(D$9))</f>
        <v>3.7067120803950595</v>
      </c>
      <c r="E88" s="7">
        <f t="shared" si="104"/>
        <v>4.4747767498488331</v>
      </c>
      <c r="F88" s="7">
        <f t="shared" si="104"/>
        <v>5.5937126078734334</v>
      </c>
      <c r="G88" s="7">
        <f t="shared" si="104"/>
        <v>7.3536471698192667</v>
      </c>
      <c r="H88" s="7">
        <f t="shared" si="104"/>
        <v>10.447713926538574</v>
      </c>
      <c r="I88" s="7">
        <f t="shared" si="104"/>
        <v>16.906552782041786</v>
      </c>
      <c r="J88" s="7">
        <f t="shared" si="104"/>
        <v>35.033627335267553</v>
      </c>
      <c r="K88" s="7">
        <f t="shared" si="104"/>
        <v>134.02007849797826</v>
      </c>
      <c r="L88" s="7">
        <f t="shared" si="104"/>
        <v>7263.5714391202891</v>
      </c>
      <c r="M88" s="7"/>
    </row>
    <row r="89" spans="2:13" x14ac:dyDescent="0.3">
      <c r="B89" s="6"/>
    </row>
    <row r="90" spans="2:13" x14ac:dyDescent="0.3">
      <c r="B90" s="6"/>
      <c r="C90" s="1" t="s">
        <v>50</v>
      </c>
      <c r="D90" s="1" t="s">
        <v>50</v>
      </c>
      <c r="E90" s="1" t="s">
        <v>50</v>
      </c>
      <c r="F90" s="1" t="s">
        <v>50</v>
      </c>
      <c r="G90" s="1" t="s">
        <v>50</v>
      </c>
      <c r="H90" s="1" t="s">
        <v>50</v>
      </c>
      <c r="I90" s="1" t="s">
        <v>50</v>
      </c>
      <c r="J90" s="1" t="s">
        <v>50</v>
      </c>
      <c r="K90" s="1" t="s">
        <v>50</v>
      </c>
      <c r="L90" s="1" t="s">
        <v>50</v>
      </c>
      <c r="M90" s="1"/>
    </row>
    <row r="91" spans="2:13" x14ac:dyDescent="0.3">
      <c r="B91" s="6">
        <f>B74</f>
        <v>0</v>
      </c>
      <c r="C91" s="8">
        <f>-C40*COS(RADIANS(C$9))+C57*SIN(RADIANS(C$9))+C$6</f>
        <v>2.855759450710349E-2</v>
      </c>
      <c r="D91" s="8">
        <f t="shared" ref="D91:L91" si="105">-D40*COS(RADIANS(D$9))+D57*SIN(RADIANS(D$9))+D$6</f>
        <v>0.12596795110235837</v>
      </c>
      <c r="E91" s="7">
        <f t="shared" si="105"/>
        <v>0.23570987268451815</v>
      </c>
      <c r="F91" s="7">
        <f t="shared" si="105"/>
        <v>0.35777948981440466</v>
      </c>
      <c r="G91" s="7">
        <f t="shared" si="105"/>
        <v>0.49053868058585604</v>
      </c>
      <c r="H91" s="7">
        <f t="shared" si="105"/>
        <v>0.62951612693256442</v>
      </c>
      <c r="I91" s="7">
        <f t="shared" si="105"/>
        <v>0.76591770560773864</v>
      </c>
      <c r="J91" s="7">
        <f t="shared" si="105"/>
        <v>0.88549021105205084</v>
      </c>
      <c r="K91" s="7">
        <f t="shared" si="105"/>
        <v>0.96946125280015005</v>
      </c>
      <c r="L91" s="7">
        <f t="shared" si="105"/>
        <v>0.99875117047322926</v>
      </c>
      <c r="M91" s="7"/>
    </row>
    <row r="92" spans="2:13" x14ac:dyDescent="0.3">
      <c r="B92" s="6">
        <f t="shared" ref="B92:B105" si="106">B75</f>
        <v>6.43</v>
      </c>
      <c r="C92" s="7">
        <f t="shared" ref="C92" si="107">-C41*COS(RADIANS(C$9))+C58*SIN(RADIANS(C$9))+C$6</f>
        <v>0.15657013723960911</v>
      </c>
      <c r="D92" s="7">
        <f t="shared" ref="D92:L92" si="108">-D41*COS(RADIANS(D$9))+D58*SIN(RADIANS(D$9))+D$6</f>
        <v>0.25045517273541051</v>
      </c>
      <c r="E92" s="7">
        <f t="shared" si="108"/>
        <v>0.35519239712977035</v>
      </c>
      <c r="F92" s="7">
        <f t="shared" si="108"/>
        <v>0.47028167399957121</v>
      </c>
      <c r="G92" s="7">
        <f t="shared" si="108"/>
        <v>0.59347891388451757</v>
      </c>
      <c r="H92" s="7">
        <f t="shared" si="108"/>
        <v>0.71963650946463731</v>
      </c>
      <c r="I92" s="7">
        <f t="shared" si="108"/>
        <v>0.83932860298262302</v>
      </c>
      <c r="J92" s="7">
        <f t="shared" si="108"/>
        <v>0.93794867966302187</v>
      </c>
      <c r="K92" s="7">
        <f t="shared" si="108"/>
        <v>0.99701546161669419</v>
      </c>
      <c r="L92" s="7">
        <f t="shared" si="108"/>
        <v>1.0043746434980831</v>
      </c>
      <c r="M92" s="7"/>
    </row>
    <row r="93" spans="2:13" x14ac:dyDescent="0.3">
      <c r="B93" s="6">
        <f t="shared" si="106"/>
        <v>12.86</v>
      </c>
      <c r="C93" s="7">
        <f t="shared" ref="C93" si="109">-C42*COS(RADIANS(C$9))+C59*SIN(RADIANS(C$9))+C$6</f>
        <v>0.28194221313097012</v>
      </c>
      <c r="D93" s="7">
        <f t="shared" ref="D93:L93" si="110">-D42*COS(RADIANS(D$9))+D59*SIN(RADIANS(D$9))+D$6</f>
        <v>0.37228456294740608</v>
      </c>
      <c r="E93" s="7">
        <f t="shared" si="110"/>
        <v>0.47208216432156247</v>
      </c>
      <c r="F93" s="7">
        <f t="shared" si="110"/>
        <v>0.58037809222536341</v>
      </c>
      <c r="G93" s="7">
        <f t="shared" si="110"/>
        <v>0.69436593645216149</v>
      </c>
      <c r="H93" s="7">
        <f t="shared" si="110"/>
        <v>0.80825088393393907</v>
      </c>
      <c r="I93" s="7">
        <f t="shared" si="110"/>
        <v>0.91194546085977946</v>
      </c>
      <c r="J93" s="7">
        <f t="shared" si="110"/>
        <v>0.99032950293066024</v>
      </c>
      <c r="K93" s="7">
        <f t="shared" si="110"/>
        <v>1.0248802258523271</v>
      </c>
      <c r="L93" s="7">
        <f t="shared" si="110"/>
        <v>1.01012656677882</v>
      </c>
      <c r="M93" s="7"/>
    </row>
    <row r="94" spans="2:13" x14ac:dyDescent="0.3">
      <c r="B94" s="6">
        <f t="shared" si="106"/>
        <v>19.29</v>
      </c>
      <c r="C94" s="7">
        <f t="shared" ref="C94" si="111">-C43*COS(RADIANS(C$9))+C60*SIN(RADIANS(C$9))+C$6</f>
        <v>0.40620629078264625</v>
      </c>
      <c r="D94" s="7">
        <f t="shared" ref="D94:L94" si="112">-D43*COS(RADIANS(D$9))+D60*SIN(RADIANS(D$9))+D$6</f>
        <v>0.4930481342633215</v>
      </c>
      <c r="E94" s="7">
        <f t="shared" si="112"/>
        <v>0.58802889295287741</v>
      </c>
      <c r="F94" s="7">
        <f t="shared" si="112"/>
        <v>0.68976600291968482</v>
      </c>
      <c r="G94" s="7">
        <f t="shared" si="112"/>
        <v>0.79491854954208407</v>
      </c>
      <c r="H94" s="7">
        <f t="shared" si="112"/>
        <v>0.89704527893467079</v>
      </c>
      <c r="I94" s="7">
        <f t="shared" si="112"/>
        <v>0.9853207710378058</v>
      </c>
      <c r="J94" s="7">
        <f t="shared" si="112"/>
        <v>1.0438865416823968</v>
      </c>
      <c r="K94" s="7">
        <f t="shared" si="112"/>
        <v>1.0537876955585084</v>
      </c>
      <c r="L94" s="7">
        <f t="shared" si="112"/>
        <v>1.0161653630428664</v>
      </c>
      <c r="M94" s="7"/>
    </row>
    <row r="95" spans="2:13" x14ac:dyDescent="0.3">
      <c r="B95" s="6">
        <f t="shared" si="106"/>
        <v>25.72</v>
      </c>
      <c r="C95" s="7">
        <f t="shared" ref="C95" si="113">-C44*COS(RADIANS(C$9))+C61*SIN(RADIANS(C$9))+C$6</f>
        <v>0.53090394062309731</v>
      </c>
      <c r="D95" s="7">
        <f t="shared" ref="D95:L95" si="114">-D44*COS(RADIANS(D$9))+D61*SIN(RADIANS(D$9))+D$6</f>
        <v>0.61435463770426435</v>
      </c>
      <c r="E95" s="7">
        <f t="shared" si="114"/>
        <v>0.70471140941241295</v>
      </c>
      <c r="F95" s="7">
        <f t="shared" si="114"/>
        <v>0.80019086415357865</v>
      </c>
      <c r="G95" s="7">
        <f t="shared" si="114"/>
        <v>0.89693149406435646</v>
      </c>
      <c r="H95" s="7">
        <f t="shared" si="114"/>
        <v>0.9878180332215567</v>
      </c>
      <c r="I95" s="7">
        <f t="shared" si="114"/>
        <v>1.0611575728415614</v>
      </c>
      <c r="J95" s="7">
        <f t="shared" si="114"/>
        <v>1.1000427478095194</v>
      </c>
      <c r="K95" s="7">
        <f t="shared" si="114"/>
        <v>1.0845990756453783</v>
      </c>
      <c r="L95" s="7">
        <f t="shared" si="114"/>
        <v>1.0226822017902397</v>
      </c>
      <c r="M95" s="7"/>
    </row>
    <row r="96" spans="2:13" x14ac:dyDescent="0.3">
      <c r="B96" s="6">
        <f t="shared" si="106"/>
        <v>32.15</v>
      </c>
      <c r="C96" s="7">
        <f t="shared" ref="C96" si="115">-C45*COS(RADIANS(C$9))+C62*SIN(RADIANS(C$9))+C$6</f>
        <v>0.65767716090110939</v>
      </c>
      <c r="D96" s="7">
        <f t="shared" ref="D96:L96" si="116">-D45*COS(RADIANS(D$9))+D62*SIN(RADIANS(D$9))+D$6</f>
        <v>0.73793203501398241</v>
      </c>
      <c r="E96" s="7">
        <f t="shared" si="116"/>
        <v>0.82395386983913821</v>
      </c>
      <c r="F96" s="7">
        <f t="shared" si="116"/>
        <v>0.91357925509601068</v>
      </c>
      <c r="G96" s="7">
        <f t="shared" si="116"/>
        <v>1.0024277086949196</v>
      </c>
      <c r="H96" s="7">
        <f t="shared" si="116"/>
        <v>1.0826516980553493</v>
      </c>
      <c r="I96" s="7">
        <f t="shared" si="116"/>
        <v>1.1414940278828247</v>
      </c>
      <c r="J96" s="7">
        <f t="shared" si="116"/>
        <v>1.1605640822313945</v>
      </c>
      <c r="K96" s="7">
        <f t="shared" si="116"/>
        <v>1.118420482934039</v>
      </c>
      <c r="L96" s="7">
        <f t="shared" si="116"/>
        <v>1.0299279023986627</v>
      </c>
      <c r="M96" s="7"/>
    </row>
    <row r="97" spans="2:13" x14ac:dyDescent="0.3">
      <c r="B97" s="6">
        <f t="shared" si="106"/>
        <v>38.58</v>
      </c>
      <c r="C97" s="7">
        <f t="shared" ref="C97" si="117">-C46*COS(RADIANS(C$9))+C63*SIN(RADIANS(C$9))+C$6</f>
        <v>0.78837934863465176</v>
      </c>
      <c r="D97" s="7">
        <f t="shared" ref="D97:L97" si="118">-D46*COS(RADIANS(D$9))+D63*SIN(RADIANS(D$9))+D$6</f>
        <v>0.86575427605637389</v>
      </c>
      <c r="E97" s="7">
        <f t="shared" si="118"/>
        <v>0.94787286289220152</v>
      </c>
      <c r="F97" s="7">
        <f t="shared" si="118"/>
        <v>1.0322119926374143</v>
      </c>
      <c r="G97" s="7">
        <f t="shared" si="118"/>
        <v>1.1138637272223919</v>
      </c>
      <c r="H97" s="7">
        <f t="shared" si="118"/>
        <v>1.1841548215083222</v>
      </c>
      <c r="I97" s="7">
        <f t="shared" si="118"/>
        <v>1.2289754098927297</v>
      </c>
      <c r="J97" s="7">
        <f t="shared" si="118"/>
        <v>1.227828087000284</v>
      </c>
      <c r="K97" s="7">
        <f t="shared" si="118"/>
        <v>1.1567890527349105</v>
      </c>
      <c r="L97" s="7">
        <f t="shared" si="118"/>
        <v>1.038257051138137</v>
      </c>
      <c r="M97" s="7"/>
    </row>
    <row r="98" spans="2:13" x14ac:dyDescent="0.3">
      <c r="B98" s="6">
        <f t="shared" si="106"/>
        <v>45.01</v>
      </c>
      <c r="C98" s="7">
        <f t="shared" ref="C98" si="119">-C47*COS(RADIANS(C$9))+C64*SIN(RADIANS(C$9))+C$6</f>
        <v>0.92522479140942604</v>
      </c>
      <c r="D98" s="8">
        <f t="shared" ref="D98:L98" si="120">-D47*COS(RADIANS(D$9))+D64*SIN(RADIANS(D$9))+D$6</f>
        <v>1.0002157461974002</v>
      </c>
      <c r="E98" s="7">
        <f t="shared" si="120"/>
        <v>1.0790851036979956</v>
      </c>
      <c r="F98" s="7">
        <f t="shared" si="120"/>
        <v>1.1589762399028891</v>
      </c>
      <c r="G98" s="7">
        <f t="shared" si="120"/>
        <v>1.2344399299996005</v>
      </c>
      <c r="H98" s="7">
        <f t="shared" si="120"/>
        <v>1.2958427008600331</v>
      </c>
      <c r="I98" s="7">
        <f t="shared" si="120"/>
        <v>1.3273020056238036</v>
      </c>
      <c r="J98" s="7">
        <f t="shared" si="120"/>
        <v>1.3052856253247871</v>
      </c>
      <c r="K98" s="7">
        <f t="shared" si="120"/>
        <v>1.2020039489779366</v>
      </c>
      <c r="L98" s="7">
        <f t="shared" si="120"/>
        <v>1.0482076595845933</v>
      </c>
      <c r="M98" s="7"/>
    </row>
    <row r="99" spans="2:13" x14ac:dyDescent="0.3">
      <c r="B99" s="6">
        <f t="shared" si="106"/>
        <v>51.44</v>
      </c>
      <c r="C99" s="7">
        <f t="shared" ref="C99" si="121">-C48*COS(RADIANS(C$9))+C65*SIN(RADIANS(C$9))+C$6</f>
        <v>1.0710075588917771</v>
      </c>
      <c r="D99" s="7">
        <f t="shared" ref="D99:L99" si="122">-D48*COS(RADIANS(D$9))+D65*SIN(RADIANS(D$9))+D$6</f>
        <v>1.1443926475561499</v>
      </c>
      <c r="E99" s="7">
        <f t="shared" si="122"/>
        <v>1.2210272600330239</v>
      </c>
      <c r="F99" s="7">
        <f t="shared" si="122"/>
        <v>1.297766474937017</v>
      </c>
      <c r="G99" s="7">
        <f t="shared" si="122"/>
        <v>1.3686129068921971</v>
      </c>
      <c r="H99" s="7">
        <f t="shared" si="122"/>
        <v>1.4227935277174577</v>
      </c>
      <c r="I99" s="7">
        <f t="shared" si="122"/>
        <v>1.4420370120907453</v>
      </c>
      <c r="J99" s="7">
        <f t="shared" si="122"/>
        <v>1.3983311940777616</v>
      </c>
      <c r="K99" s="7">
        <f t="shared" si="122"/>
        <v>1.2577719042460269</v>
      </c>
      <c r="L99" s="7">
        <f t="shared" si="122"/>
        <v>1.060658642536854</v>
      </c>
      <c r="M99" s="7"/>
    </row>
    <row r="100" spans="2:13" x14ac:dyDescent="0.3">
      <c r="B100" s="6">
        <f t="shared" si="106"/>
        <v>57.87</v>
      </c>
      <c r="C100" s="7">
        <f t="shared" ref="C100" si="123">-C49*COS(RADIANS(C$9))+C66*SIN(RADIANS(C$9))+C$6</f>
        <v>1.2294448556107667</v>
      </c>
      <c r="D100" s="7">
        <f t="shared" ref="D100:L100" si="124">-D49*COS(RADIANS(D$9))+D66*SIN(RADIANS(D$9))+D$6</f>
        <v>1.3024633212980561</v>
      </c>
      <c r="E100" s="7">
        <f t="shared" si="124"/>
        <v>1.3784856224978972</v>
      </c>
      <c r="F100" s="7">
        <f t="shared" si="124"/>
        <v>1.4541720691742404</v>
      </c>
      <c r="G100" s="7">
        <f t="shared" si="124"/>
        <v>1.523010687997155</v>
      </c>
      <c r="H100" s="7">
        <f t="shared" si="124"/>
        <v>1.5728767477078103</v>
      </c>
      <c r="I100" s="7">
        <f t="shared" si="124"/>
        <v>1.5821986353227309</v>
      </c>
      <c r="J100" s="7">
        <f t="shared" si="124"/>
        <v>1.5161070283650231</v>
      </c>
      <c r="K100" s="7">
        <f t="shared" si="124"/>
        <v>1.3305995276075016</v>
      </c>
      <c r="L100" s="7">
        <f t="shared" si="124"/>
        <v>1.077174657134663</v>
      </c>
      <c r="M100" s="7"/>
    </row>
    <row r="101" spans="2:13" x14ac:dyDescent="0.3">
      <c r="B101" s="6">
        <f t="shared" si="106"/>
        <v>64.3</v>
      </c>
      <c r="C101" s="7">
        <f t="shared" ref="C101" si="125">-C50*COS(RADIANS(C$9))+C67*SIN(RADIANS(C$9))+C$6</f>
        <v>1.4057502273297935</v>
      </c>
      <c r="D101" s="7">
        <f t="shared" ref="D101:L101" si="126">-D50*COS(RADIANS(D$9))+D67*SIN(RADIANS(D$9))+D$6</f>
        <v>1.4804296837699873</v>
      </c>
      <c r="E101" s="7">
        <f t="shared" si="126"/>
        <v>1.5585358319701408</v>
      </c>
      <c r="F101" s="7">
        <f t="shared" si="126"/>
        <v>1.6367465629094857</v>
      </c>
      <c r="G101" s="7">
        <f t="shared" si="126"/>
        <v>1.7082043898603967</v>
      </c>
      <c r="H101" s="7">
        <f t="shared" si="126"/>
        <v>1.7592674801531203</v>
      </c>
      <c r="I101" s="7">
        <f t="shared" si="126"/>
        <v>1.7637308573421526</v>
      </c>
      <c r="J101" s="7">
        <f t="shared" si="126"/>
        <v>1.6756960275032418</v>
      </c>
      <c r="K101" s="7">
        <f t="shared" si="126"/>
        <v>1.4331999090426044</v>
      </c>
      <c r="L101" s="7">
        <f t="shared" si="126"/>
        <v>1.1008665212392645</v>
      </c>
      <c r="M101" s="7"/>
    </row>
    <row r="102" spans="2:13" x14ac:dyDescent="0.3">
      <c r="B102" s="6">
        <f t="shared" si="106"/>
        <v>70.72999999999999</v>
      </c>
      <c r="C102" s="7">
        <f t="shared" ref="C102" si="127">-C51*COS(RADIANS(C$9))+C68*SIN(RADIANS(C$9))+C$6</f>
        <v>1.6076530396450366</v>
      </c>
      <c r="D102" s="7">
        <f t="shared" ref="D102:L102" si="128">-D51*COS(RADIANS(D$9))+D68*SIN(RADIANS(D$9))+D$6</f>
        <v>1.6874425003240927</v>
      </c>
      <c r="E102" s="7">
        <f t="shared" si="128"/>
        <v>1.7723381351037091</v>
      </c>
      <c r="F102" s="7">
        <f t="shared" si="128"/>
        <v>1.8595514422769406</v>
      </c>
      <c r="G102" s="7">
        <f t="shared" si="128"/>
        <v>1.9424734661524607</v>
      </c>
      <c r="H102" s="7">
        <f t="shared" si="128"/>
        <v>2.0061848687286492</v>
      </c>
      <c r="I102" s="7">
        <f t="shared" si="128"/>
        <v>2.0181111238592129</v>
      </c>
      <c r="J102" s="7">
        <f t="shared" si="128"/>
        <v>1.9134753420002064</v>
      </c>
      <c r="K102" s="7">
        <f t="shared" si="128"/>
        <v>1.5944165124749423</v>
      </c>
      <c r="L102" s="7">
        <f t="shared" si="128"/>
        <v>1.138969728181658</v>
      </c>
      <c r="M102" s="7"/>
    </row>
    <row r="103" spans="2:13" x14ac:dyDescent="0.3">
      <c r="B103" s="6">
        <f t="shared" si="106"/>
        <v>77.16</v>
      </c>
      <c r="C103" s="7">
        <f t="shared" ref="C103" si="129">-C52*COS(RADIANS(C$9))+C69*SIN(RADIANS(C$9))+C$6</f>
        <v>1.8473453290596664</v>
      </c>
      <c r="D103" s="7">
        <f t="shared" ref="D103:L103" si="130">-D52*COS(RADIANS(D$9))+D69*SIN(RADIANS(D$9))+D$6</f>
        <v>1.9384339027608268</v>
      </c>
      <c r="E103" s="7">
        <f t="shared" si="130"/>
        <v>2.0388813661723821</v>
      </c>
      <c r="F103" s="7">
        <f t="shared" si="130"/>
        <v>2.1477945728846199</v>
      </c>
      <c r="G103" s="7">
        <f t="shared" si="130"/>
        <v>2.260819664230723</v>
      </c>
      <c r="H103" s="7">
        <f t="shared" si="130"/>
        <v>2.3640294119104341</v>
      </c>
      <c r="I103" s="7">
        <f t="shared" si="130"/>
        <v>2.4179192763654651</v>
      </c>
      <c r="J103" s="7">
        <f t="shared" si="130"/>
        <v>2.3236257148926511</v>
      </c>
      <c r="K103" s="7">
        <f t="shared" si="130"/>
        <v>1.8970554206406058</v>
      </c>
      <c r="L103" s="7">
        <f t="shared" si="130"/>
        <v>1.2131475182126623</v>
      </c>
      <c r="M103" s="7"/>
    </row>
    <row r="104" spans="2:13" x14ac:dyDescent="0.3">
      <c r="B104" s="6">
        <f t="shared" si="106"/>
        <v>83.59</v>
      </c>
      <c r="C104" s="7">
        <f t="shared" ref="C104" si="131">-C53*COS(RADIANS(C$9))+C70*SIN(RADIANS(C$9))+C$6</f>
        <v>2.1455338585209618</v>
      </c>
      <c r="D104" s="7">
        <f t="shared" ref="D104:L104" si="132">-D53*COS(RADIANS(D$9))+D70*SIN(RADIANS(D$9))+D$6</f>
        <v>2.2598788694844489</v>
      </c>
      <c r="E104" s="7">
        <f t="shared" si="132"/>
        <v>2.3937150159579677</v>
      </c>
      <c r="F104" s="7">
        <f t="shared" si="132"/>
        <v>2.5521063140271401</v>
      </c>
      <c r="G104" s="7">
        <f t="shared" si="132"/>
        <v>2.7403934487554302</v>
      </c>
      <c r="H104" s="7">
        <f t="shared" si="132"/>
        <v>2.958684156896362</v>
      </c>
      <c r="I104" s="7">
        <f t="shared" si="132"/>
        <v>3.1775097586466279</v>
      </c>
      <c r="J104" s="7">
        <f t="shared" si="132"/>
        <v>3.2499100515158368</v>
      </c>
      <c r="K104" s="7">
        <f t="shared" si="132"/>
        <v>2.7160616134934035</v>
      </c>
      <c r="L104" s="7">
        <f t="shared" si="132"/>
        <v>1.4314587268565884</v>
      </c>
      <c r="M104" s="7"/>
    </row>
    <row r="105" spans="2:13" x14ac:dyDescent="0.3">
      <c r="B105" s="6">
        <f t="shared" si="106"/>
        <v>90.02000000000001</v>
      </c>
      <c r="C105" s="7">
        <f t="shared" ref="C105" si="133">-C54*COS(RADIANS(C$9))+C71*SIN(RADIANS(C$9))+C$6</f>
        <v>2.54086049525975</v>
      </c>
      <c r="D105" s="7">
        <f t="shared" ref="D105:L105" si="134">-D54*COS(RADIANS(D$9))+D71*SIN(RADIANS(D$9))+D$6</f>
        <v>2.7041252100690274</v>
      </c>
      <c r="E105" s="7">
        <f t="shared" si="134"/>
        <v>2.912672606412364</v>
      </c>
      <c r="F105" s="7">
        <f t="shared" si="134"/>
        <v>3.1922343573445744</v>
      </c>
      <c r="G105" s="7">
        <f t="shared" si="134"/>
        <v>3.59246065439938</v>
      </c>
      <c r="H105" s="7">
        <f t="shared" si="134"/>
        <v>4.2192990834011557</v>
      </c>
      <c r="I105" s="7">
        <f t="shared" si="134"/>
        <v>5.3332267753218394</v>
      </c>
      <c r="J105" s="7">
        <f t="shared" si="134"/>
        <v>7.7454146089739613</v>
      </c>
      <c r="K105" s="7">
        <f t="shared" si="134"/>
        <v>15.704999084557244</v>
      </c>
      <c r="L105" s="7">
        <f t="shared" si="134"/>
        <v>178.05225860791083</v>
      </c>
      <c r="M105" s="7"/>
    </row>
  </sheetData>
  <phoneticPr fontId="5" type="noConversion"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1"/>
  <sheetViews>
    <sheetView zoomScale="110" zoomScaleNormal="110" workbookViewId="0">
      <selection activeCell="F14" sqref="F14"/>
    </sheetView>
  </sheetViews>
  <sheetFormatPr defaultColWidth="11.5546875" defaultRowHeight="14.4" x14ac:dyDescent="0.3"/>
  <cols>
    <col min="1" max="12" width="11.109375" style="1"/>
  </cols>
  <sheetData>
    <row r="1" spans="1:12" x14ac:dyDescent="0.3">
      <c r="E1" s="1" t="s">
        <v>4</v>
      </c>
      <c r="J1" s="1" t="s">
        <v>4</v>
      </c>
    </row>
    <row r="2" spans="1:12" x14ac:dyDescent="0.3">
      <c r="A2" s="1" t="s">
        <v>3</v>
      </c>
      <c r="B2" s="4">
        <v>1.5</v>
      </c>
      <c r="E2" s="3">
        <v>1</v>
      </c>
      <c r="F2" s="1" t="s">
        <v>14</v>
      </c>
      <c r="J2" s="3">
        <v>-1</v>
      </c>
      <c r="K2" s="1" t="s">
        <v>11</v>
      </c>
    </row>
    <row r="3" spans="1:12" x14ac:dyDescent="0.3">
      <c r="A3" s="1" t="s">
        <v>9</v>
      </c>
      <c r="B3" s="4">
        <v>3</v>
      </c>
      <c r="E3" s="3">
        <v>1</v>
      </c>
      <c r="F3" s="1" t="s">
        <v>10</v>
      </c>
      <c r="J3" s="3">
        <v>1</v>
      </c>
      <c r="K3" s="1" t="s">
        <v>10</v>
      </c>
    </row>
    <row r="4" spans="1:12" x14ac:dyDescent="0.3">
      <c r="A4" s="1" t="s">
        <v>16</v>
      </c>
      <c r="B4" s="5">
        <f>SQRT(B3^2-B2^2)</f>
        <v>2.598076211353316</v>
      </c>
      <c r="C4" s="2" t="s">
        <v>17</v>
      </c>
      <c r="D4" s="2" t="s">
        <v>17</v>
      </c>
      <c r="E4" s="1" t="s">
        <v>18</v>
      </c>
      <c r="F4" s="1" t="s">
        <v>1</v>
      </c>
      <c r="G4" s="1" t="s">
        <v>2</v>
      </c>
      <c r="H4" s="2" t="s">
        <v>17</v>
      </c>
      <c r="I4" s="2" t="s">
        <v>17</v>
      </c>
      <c r="J4" s="1" t="s">
        <v>19</v>
      </c>
      <c r="K4" s="1" t="s">
        <v>1</v>
      </c>
      <c r="L4" s="1" t="s">
        <v>2</v>
      </c>
    </row>
    <row r="5" spans="1:12" x14ac:dyDescent="0.3">
      <c r="A5" s="1" t="s">
        <v>7</v>
      </c>
      <c r="B5" s="5">
        <f>-(B4^2/B2^2)-1</f>
        <v>-4</v>
      </c>
      <c r="C5" s="6">
        <v>-120</v>
      </c>
      <c r="D5" s="7">
        <f>RADIANS(C5)</f>
        <v>-2.0943951023931953</v>
      </c>
      <c r="E5" s="7">
        <f t="shared" ref="E5:E23" si="0">$B$8/(E$2+$B$6*E$3*COS($D5))</f>
        <v>1.0133099161583616E+16</v>
      </c>
      <c r="F5" s="8">
        <f t="shared" ref="F5:F23" si="1">E5*COS($D5)-$B$3</f>
        <v>-5066549580791809</v>
      </c>
      <c r="G5" s="8">
        <f>E5*SIN($D5)</f>
        <v>-8775521292998208</v>
      </c>
      <c r="H5" s="6">
        <v>-40</v>
      </c>
      <c r="I5" s="7">
        <f>RADIANS(H5)</f>
        <v>-0.69813170079773179</v>
      </c>
      <c r="J5" s="7">
        <f>$B$8/(J$2+$B$6*J$3*COS($I5))</f>
        <v>8.4572335870731763</v>
      </c>
      <c r="K5" s="7">
        <f>J5*COS($I5)-$B$3</f>
        <v>3.4786167935365881</v>
      </c>
      <c r="L5" s="7">
        <f>J5*SIN($I5)</f>
        <v>-5.4362049619954833</v>
      </c>
    </row>
    <row r="6" spans="1:12" x14ac:dyDescent="0.3">
      <c r="A6" s="1" t="s">
        <v>0</v>
      </c>
      <c r="B6" s="7">
        <f>SQRT(-B5)</f>
        <v>2</v>
      </c>
      <c r="C6" s="6">
        <v>-110</v>
      </c>
      <c r="D6" s="7">
        <f>RADIANS(C6)</f>
        <v>-1.9198621771937625</v>
      </c>
      <c r="E6" s="7">
        <f t="shared" si="0"/>
        <v>14.242322074252028</v>
      </c>
      <c r="F6" s="7">
        <f t="shared" si="1"/>
        <v>-7.8711610371260141</v>
      </c>
      <c r="G6" s="7">
        <f t="shared" ref="G6:G23" si="2">E6*SIN($D6)</f>
        <v>-13.383404956030883</v>
      </c>
      <c r="H6" s="6">
        <v>-36</v>
      </c>
      <c r="I6" s="7">
        <f>RADIANS(H6)</f>
        <v>-0.62831853071795862</v>
      </c>
      <c r="J6" s="7">
        <f t="shared" ref="J6:J25" si="3">$B$8/(J$2+$B$6*J$3*COS($I6))</f>
        <v>7.2811529493745262</v>
      </c>
      <c r="K6" s="7">
        <f t="shared" ref="K6:K25" si="4">J6*COS($I6)-$B$3</f>
        <v>2.8905764746872631</v>
      </c>
      <c r="L6" s="7">
        <f t="shared" ref="L6:L25" si="5">J6*SIN($I6)</f>
        <v>-4.2797543233281905</v>
      </c>
    </row>
    <row r="7" spans="1:12" x14ac:dyDescent="0.3">
      <c r="C7" s="6">
        <v>-100</v>
      </c>
      <c r="D7" s="7">
        <f t="shared" ref="D7:D23" si="6">RADIANS(C7)</f>
        <v>-1.7453292519943295</v>
      </c>
      <c r="E7" s="7">
        <f t="shared" si="0"/>
        <v>6.8943999880708011</v>
      </c>
      <c r="F7" s="7">
        <f t="shared" si="1"/>
        <v>-4.197199994035401</v>
      </c>
      <c r="G7" s="7">
        <f t="shared" si="2"/>
        <v>-6.7896585606193991</v>
      </c>
      <c r="H7" s="6">
        <v>-32</v>
      </c>
      <c r="I7" s="7">
        <f t="shared" ref="I7:I23" si="7">RADIANS(H7)</f>
        <v>-0.55850536063818546</v>
      </c>
      <c r="J7" s="7">
        <f t="shared" si="3"/>
        <v>6.4646237828830557</v>
      </c>
      <c r="K7" s="7">
        <f t="shared" si="4"/>
        <v>2.4823118914415279</v>
      </c>
      <c r="L7" s="7">
        <f t="shared" si="5"/>
        <v>-3.4257286785698668</v>
      </c>
    </row>
    <row r="8" spans="1:12" x14ac:dyDescent="0.3">
      <c r="A8" s="1" t="s">
        <v>38</v>
      </c>
      <c r="B8" s="7">
        <f>B4^2/B2</f>
        <v>4.5</v>
      </c>
      <c r="C8" s="6">
        <v>-90</v>
      </c>
      <c r="D8" s="7">
        <f t="shared" si="6"/>
        <v>-1.5707963267948966</v>
      </c>
      <c r="E8" s="7">
        <f t="shared" si="0"/>
        <v>4.4999999999999991</v>
      </c>
      <c r="F8" s="7">
        <f t="shared" si="1"/>
        <v>-2.9999999999999996</v>
      </c>
      <c r="G8" s="7">
        <f t="shared" si="2"/>
        <v>-4.4999999999999991</v>
      </c>
      <c r="H8" s="6">
        <v>-28</v>
      </c>
      <c r="I8" s="7">
        <f t="shared" si="7"/>
        <v>-0.48869219055841229</v>
      </c>
      <c r="J8" s="7">
        <f t="shared" si="3"/>
        <v>5.8754775900337659</v>
      </c>
      <c r="K8" s="7">
        <f t="shared" si="4"/>
        <v>2.187738795016883</v>
      </c>
      <c r="L8" s="7">
        <f t="shared" si="5"/>
        <v>-2.7583696463066314</v>
      </c>
    </row>
    <row r="9" spans="1:12" x14ac:dyDescent="0.3">
      <c r="A9" s="1" t="s">
        <v>6</v>
      </c>
      <c r="B9" s="7">
        <f>B8/(1+B6)</f>
        <v>1.5</v>
      </c>
      <c r="C9" s="6">
        <v>-80</v>
      </c>
      <c r="D9" s="7">
        <f t="shared" si="6"/>
        <v>-1.3962634015954636</v>
      </c>
      <c r="E9" s="7">
        <f t="shared" si="0"/>
        <v>3.340022395358516</v>
      </c>
      <c r="F9" s="7">
        <f t="shared" si="1"/>
        <v>-2.420011197679258</v>
      </c>
      <c r="G9" s="7">
        <f t="shared" si="2"/>
        <v>-3.2892799501834729</v>
      </c>
      <c r="H9" s="6">
        <v>-24</v>
      </c>
      <c r="I9" s="7">
        <f t="shared" si="7"/>
        <v>-0.41887902047863912</v>
      </c>
      <c r="J9" s="7">
        <f t="shared" si="3"/>
        <v>5.440756169408882</v>
      </c>
      <c r="K9" s="7">
        <f t="shared" si="4"/>
        <v>1.970378084704441</v>
      </c>
      <c r="L9" s="7">
        <f t="shared" si="5"/>
        <v>-2.2129549001393185</v>
      </c>
    </row>
    <row r="10" spans="1:12" x14ac:dyDescent="0.3">
      <c r="A10" s="1" t="s">
        <v>8</v>
      </c>
      <c r="B10" s="7">
        <f>B8/(1-B6)</f>
        <v>-4.5</v>
      </c>
      <c r="C10" s="6">
        <v>-70</v>
      </c>
      <c r="D10" s="7">
        <f t="shared" si="6"/>
        <v>-1.2217304763960306</v>
      </c>
      <c r="E10" s="7">
        <f t="shared" si="0"/>
        <v>2.6721450998943213</v>
      </c>
      <c r="F10" s="7">
        <f t="shared" si="1"/>
        <v>-2.0860725499471604</v>
      </c>
      <c r="G10" s="7">
        <f t="shared" si="2"/>
        <v>-2.5109950320399177</v>
      </c>
      <c r="H10" s="6">
        <v>-20</v>
      </c>
      <c r="I10" s="7">
        <f t="shared" si="7"/>
        <v>-0.3490658503988659</v>
      </c>
      <c r="J10" s="7">
        <f t="shared" si="3"/>
        <v>5.1172111917146585</v>
      </c>
      <c r="K10" s="7">
        <f t="shared" si="4"/>
        <v>1.8086055958573288</v>
      </c>
      <c r="L10" s="7">
        <f t="shared" si="5"/>
        <v>-1.7501893052179636</v>
      </c>
    </row>
    <row r="11" spans="1:12" x14ac:dyDescent="0.3">
      <c r="B11" s="5"/>
      <c r="C11" s="6">
        <v>-60</v>
      </c>
      <c r="D11" s="7">
        <f t="shared" si="6"/>
        <v>-1.0471975511965976</v>
      </c>
      <c r="E11" s="7">
        <f t="shared" si="0"/>
        <v>2.25</v>
      </c>
      <c r="F11" s="7">
        <f t="shared" si="1"/>
        <v>-1.8749999999999998</v>
      </c>
      <c r="G11" s="7">
        <f t="shared" si="2"/>
        <v>-1.9485571585149868</v>
      </c>
      <c r="H11" s="6">
        <v>-16</v>
      </c>
      <c r="I11" s="7">
        <f t="shared" si="7"/>
        <v>-0.27925268031909273</v>
      </c>
      <c r="J11" s="7">
        <f t="shared" si="3"/>
        <v>4.8779250907078913</v>
      </c>
      <c r="K11" s="7">
        <f t="shared" si="4"/>
        <v>1.6889625453539452</v>
      </c>
      <c r="L11" s="7">
        <f t="shared" si="5"/>
        <v>-1.344538373876119</v>
      </c>
    </row>
    <row r="12" spans="1:12" x14ac:dyDescent="0.3">
      <c r="B12" s="5"/>
      <c r="C12" s="6">
        <v>-50</v>
      </c>
      <c r="D12" s="7">
        <f t="shared" si="6"/>
        <v>-0.87266462599716477</v>
      </c>
      <c r="E12" s="7">
        <f t="shared" si="0"/>
        <v>1.9688697890390703</v>
      </c>
      <c r="F12" s="7">
        <f t="shared" si="1"/>
        <v>-1.7344348945195349</v>
      </c>
      <c r="G12" s="7">
        <f t="shared" si="2"/>
        <v>-1.5082417611182144</v>
      </c>
      <c r="H12" s="6">
        <v>-12</v>
      </c>
      <c r="I12" s="7">
        <f t="shared" si="7"/>
        <v>-0.20943951023931956</v>
      </c>
      <c r="J12" s="7">
        <f t="shared" si="3"/>
        <v>4.7056599187091184</v>
      </c>
      <c r="K12" s="7">
        <f t="shared" si="4"/>
        <v>1.6028299593545592</v>
      </c>
      <c r="L12" s="7">
        <f t="shared" si="5"/>
        <v>-0.97836171011217277</v>
      </c>
    </row>
    <row r="13" spans="1:12" x14ac:dyDescent="0.3">
      <c r="B13" s="8">
        <v>0</v>
      </c>
      <c r="C13" s="6">
        <v>-40</v>
      </c>
      <c r="D13" s="7">
        <f t="shared" si="6"/>
        <v>-0.69813170079773179</v>
      </c>
      <c r="E13" s="7">
        <f t="shared" si="0"/>
        <v>1.7771887963561432</v>
      </c>
      <c r="F13" s="7">
        <f t="shared" si="1"/>
        <v>-1.6385943981780715</v>
      </c>
      <c r="G13" s="7">
        <f t="shared" si="2"/>
        <v>-1.1423549383714631</v>
      </c>
      <c r="H13" s="6">
        <v>-8</v>
      </c>
      <c r="I13" s="7">
        <f t="shared" si="7"/>
        <v>-0.13962634015954636</v>
      </c>
      <c r="J13" s="7">
        <f t="shared" si="3"/>
        <v>4.5893260105136848</v>
      </c>
      <c r="K13" s="7">
        <f t="shared" si="4"/>
        <v>1.5446630052568429</v>
      </c>
      <c r="L13" s="7">
        <f t="shared" si="5"/>
        <v>-0.6387107321998754</v>
      </c>
    </row>
    <row r="14" spans="1:12" x14ac:dyDescent="0.3">
      <c r="A14" s="1" t="s">
        <v>12</v>
      </c>
      <c r="B14" s="5">
        <f>-B2-B9</f>
        <v>-3</v>
      </c>
      <c r="C14" s="6">
        <v>-30</v>
      </c>
      <c r="D14" s="7">
        <f t="shared" si="6"/>
        <v>-0.52359877559829882</v>
      </c>
      <c r="E14" s="7">
        <f t="shared" si="0"/>
        <v>1.6471143170299738</v>
      </c>
      <c r="F14" s="7">
        <f t="shared" si="1"/>
        <v>-1.573557158514987</v>
      </c>
      <c r="G14" s="7">
        <f t="shared" si="2"/>
        <v>-0.82355715851498679</v>
      </c>
      <c r="H14" s="6">
        <v>-4</v>
      </c>
      <c r="I14" s="7">
        <f t="shared" si="7"/>
        <v>-6.9813170079773182E-2</v>
      </c>
      <c r="J14" s="7">
        <f t="shared" si="3"/>
        <v>4.5220308798938893</v>
      </c>
      <c r="K14" s="7">
        <f t="shared" si="4"/>
        <v>1.5110154399469451</v>
      </c>
      <c r="L14" s="7">
        <f t="shared" si="5"/>
        <v>-0.31544092834344195</v>
      </c>
    </row>
    <row r="15" spans="1:12" x14ac:dyDescent="0.3">
      <c r="A15" s="1" t="s">
        <v>13</v>
      </c>
      <c r="B15" s="5">
        <f>B2+B9</f>
        <v>3</v>
      </c>
      <c r="C15" s="6">
        <v>-20</v>
      </c>
      <c r="D15" s="7">
        <f t="shared" si="6"/>
        <v>-0.3490658503988659</v>
      </c>
      <c r="E15" s="7">
        <f t="shared" si="0"/>
        <v>1.5628335990023732</v>
      </c>
      <c r="F15" s="7">
        <f t="shared" si="1"/>
        <v>-1.5314167995011865</v>
      </c>
      <c r="G15" s="7">
        <f t="shared" si="2"/>
        <v>-0.53452057152496235</v>
      </c>
      <c r="H15" s="6">
        <v>0</v>
      </c>
      <c r="I15" s="7">
        <f t="shared" si="7"/>
        <v>0</v>
      </c>
      <c r="J15" s="7">
        <f t="shared" si="3"/>
        <v>4.5</v>
      </c>
      <c r="K15" s="7">
        <f t="shared" si="4"/>
        <v>1.5</v>
      </c>
      <c r="L15" s="7">
        <f t="shared" si="5"/>
        <v>0</v>
      </c>
    </row>
    <row r="16" spans="1:12" x14ac:dyDescent="0.3">
      <c r="C16" s="6">
        <v>-10</v>
      </c>
      <c r="D16" s="7">
        <f t="shared" si="6"/>
        <v>-0.17453292519943295</v>
      </c>
      <c r="E16" s="7">
        <f t="shared" si="0"/>
        <v>1.5153476909286454</v>
      </c>
      <c r="F16" s="7">
        <f t="shared" si="1"/>
        <v>-1.5076738454643228</v>
      </c>
      <c r="G16" s="7">
        <f t="shared" si="2"/>
        <v>-0.26313736506155005</v>
      </c>
      <c r="H16" s="6">
        <v>4</v>
      </c>
      <c r="I16" s="7">
        <f t="shared" si="7"/>
        <v>6.9813170079773182E-2</v>
      </c>
      <c r="J16" s="7">
        <f t="shared" si="3"/>
        <v>4.5220308798938893</v>
      </c>
      <c r="K16" s="7">
        <f t="shared" si="4"/>
        <v>1.5110154399469451</v>
      </c>
      <c r="L16" s="7">
        <f t="shared" si="5"/>
        <v>0.31544092834344195</v>
      </c>
    </row>
    <row r="17" spans="1:12" x14ac:dyDescent="0.3">
      <c r="A17" s="1" t="s">
        <v>15</v>
      </c>
      <c r="B17" s="1">
        <f>B8-B6*B3</f>
        <v>-1.5</v>
      </c>
      <c r="C17" s="6">
        <v>0</v>
      </c>
      <c r="D17" s="7">
        <f t="shared" si="6"/>
        <v>0</v>
      </c>
      <c r="E17" s="7">
        <f t="shared" si="0"/>
        <v>1.5</v>
      </c>
      <c r="F17" s="7">
        <f t="shared" si="1"/>
        <v>-1.5</v>
      </c>
      <c r="G17" s="7">
        <f t="shared" si="2"/>
        <v>0</v>
      </c>
      <c r="H17" s="6">
        <v>8</v>
      </c>
      <c r="I17" s="7">
        <f t="shared" si="7"/>
        <v>0.13962634015954636</v>
      </c>
      <c r="J17" s="7">
        <f t="shared" si="3"/>
        <v>4.5893260105136848</v>
      </c>
      <c r="K17" s="7">
        <f t="shared" si="4"/>
        <v>1.5446630052568429</v>
      </c>
      <c r="L17" s="7">
        <f t="shared" si="5"/>
        <v>0.6387107321998754</v>
      </c>
    </row>
    <row r="18" spans="1:12" x14ac:dyDescent="0.3">
      <c r="C18" s="6">
        <v>10</v>
      </c>
      <c r="D18" s="7">
        <f t="shared" si="6"/>
        <v>0.17453292519943295</v>
      </c>
      <c r="E18" s="7">
        <f t="shared" si="0"/>
        <v>1.5153476909286454</v>
      </c>
      <c r="F18" s="7">
        <f t="shared" si="1"/>
        <v>-1.5076738454643228</v>
      </c>
      <c r="G18" s="7">
        <f t="shared" si="2"/>
        <v>0.26313736506155005</v>
      </c>
      <c r="H18" s="6">
        <v>12</v>
      </c>
      <c r="I18" s="7">
        <f t="shared" si="7"/>
        <v>0.20943951023931956</v>
      </c>
      <c r="J18" s="7">
        <f t="shared" si="3"/>
        <v>4.7056599187091184</v>
      </c>
      <c r="K18" s="7">
        <f t="shared" si="4"/>
        <v>1.6028299593545592</v>
      </c>
      <c r="L18" s="7">
        <f t="shared" si="5"/>
        <v>0.97836171011217277</v>
      </c>
    </row>
    <row r="19" spans="1:12" x14ac:dyDescent="0.3">
      <c r="C19" s="6">
        <v>20</v>
      </c>
      <c r="D19" s="7">
        <f t="shared" si="6"/>
        <v>0.3490658503988659</v>
      </c>
      <c r="E19" s="7">
        <f t="shared" si="0"/>
        <v>1.5628335990023732</v>
      </c>
      <c r="F19" s="7">
        <f t="shared" si="1"/>
        <v>-1.5314167995011865</v>
      </c>
      <c r="G19" s="7">
        <f t="shared" si="2"/>
        <v>0.53452057152496235</v>
      </c>
      <c r="H19" s="6">
        <v>16</v>
      </c>
      <c r="I19" s="7">
        <f t="shared" si="7"/>
        <v>0.27925268031909273</v>
      </c>
      <c r="J19" s="7">
        <f t="shared" si="3"/>
        <v>4.8779250907078913</v>
      </c>
      <c r="K19" s="7">
        <f t="shared" si="4"/>
        <v>1.6889625453539452</v>
      </c>
      <c r="L19" s="7">
        <f t="shared" si="5"/>
        <v>1.344538373876119</v>
      </c>
    </row>
    <row r="20" spans="1:12" x14ac:dyDescent="0.3">
      <c r="B20" s="7">
        <f>SQRT(1+B4^2/B2^2)</f>
        <v>2</v>
      </c>
      <c r="C20" s="6">
        <v>30</v>
      </c>
      <c r="D20" s="7">
        <f t="shared" si="6"/>
        <v>0.52359877559829882</v>
      </c>
      <c r="E20" s="7">
        <f t="shared" si="0"/>
        <v>1.6471143170299738</v>
      </c>
      <c r="F20" s="7">
        <f t="shared" si="1"/>
        <v>-1.573557158514987</v>
      </c>
      <c r="G20" s="7">
        <f t="shared" si="2"/>
        <v>0.82355715851498679</v>
      </c>
      <c r="H20" s="6">
        <v>20</v>
      </c>
      <c r="I20" s="7">
        <f t="shared" si="7"/>
        <v>0.3490658503988659</v>
      </c>
      <c r="J20" s="7">
        <f t="shared" si="3"/>
        <v>5.1172111917146585</v>
      </c>
      <c r="K20" s="7">
        <f t="shared" si="4"/>
        <v>1.8086055958573288</v>
      </c>
      <c r="L20" s="7">
        <f t="shared" si="5"/>
        <v>1.7501893052179636</v>
      </c>
    </row>
    <row r="21" spans="1:12" x14ac:dyDescent="0.3">
      <c r="C21" s="6">
        <v>40</v>
      </c>
      <c r="D21" s="7">
        <f t="shared" si="6"/>
        <v>0.69813170079773179</v>
      </c>
      <c r="E21" s="7">
        <f t="shared" si="0"/>
        <v>1.7771887963561432</v>
      </c>
      <c r="F21" s="7">
        <f t="shared" si="1"/>
        <v>-1.6385943981780715</v>
      </c>
      <c r="G21" s="7">
        <f t="shared" si="2"/>
        <v>1.1423549383714631</v>
      </c>
      <c r="H21" s="6">
        <v>24</v>
      </c>
      <c r="I21" s="7">
        <f t="shared" si="7"/>
        <v>0.41887902047863912</v>
      </c>
      <c r="J21" s="7">
        <f t="shared" si="3"/>
        <v>5.440756169408882</v>
      </c>
      <c r="K21" s="7">
        <f t="shared" si="4"/>
        <v>1.970378084704441</v>
      </c>
      <c r="L21" s="7">
        <f t="shared" si="5"/>
        <v>2.2129549001393185</v>
      </c>
    </row>
    <row r="22" spans="1:12" x14ac:dyDescent="0.3">
      <c r="B22" s="1">
        <f>B4/B2</f>
        <v>1.7320508075688774</v>
      </c>
      <c r="C22" s="6">
        <v>50</v>
      </c>
      <c r="D22" s="7">
        <f t="shared" si="6"/>
        <v>0.87266462599716477</v>
      </c>
      <c r="E22" s="7">
        <f t="shared" si="0"/>
        <v>1.9688697890390703</v>
      </c>
      <c r="F22" s="7">
        <f t="shared" si="1"/>
        <v>-1.7344348945195349</v>
      </c>
      <c r="G22" s="7">
        <f t="shared" si="2"/>
        <v>1.5082417611182144</v>
      </c>
      <c r="H22" s="6">
        <v>28</v>
      </c>
      <c r="I22" s="7">
        <f t="shared" si="7"/>
        <v>0.48869219055841229</v>
      </c>
      <c r="J22" s="7">
        <f t="shared" si="3"/>
        <v>5.8754775900337659</v>
      </c>
      <c r="K22" s="7">
        <f t="shared" si="4"/>
        <v>2.187738795016883</v>
      </c>
      <c r="L22" s="7">
        <f t="shared" si="5"/>
        <v>2.7583696463066314</v>
      </c>
    </row>
    <row r="23" spans="1:12" x14ac:dyDescent="0.3">
      <c r="B23" s="1">
        <f>DEGREES(ATAN(B22))</f>
        <v>60.000000000000007</v>
      </c>
      <c r="C23" s="6">
        <v>60</v>
      </c>
      <c r="D23" s="7">
        <f t="shared" si="6"/>
        <v>1.0471975511965976</v>
      </c>
      <c r="E23" s="7">
        <f t="shared" si="0"/>
        <v>2.25</v>
      </c>
      <c r="F23" s="7">
        <f t="shared" si="1"/>
        <v>-1.8749999999999998</v>
      </c>
      <c r="G23" s="7">
        <f t="shared" si="2"/>
        <v>1.9485571585149868</v>
      </c>
      <c r="H23" s="6">
        <v>32</v>
      </c>
      <c r="I23" s="7">
        <f t="shared" si="7"/>
        <v>0.55850536063818546</v>
      </c>
      <c r="J23" s="7">
        <f t="shared" si="3"/>
        <v>6.4646237828830557</v>
      </c>
      <c r="K23" s="7">
        <f t="shared" si="4"/>
        <v>2.4823118914415279</v>
      </c>
      <c r="L23" s="7">
        <f t="shared" si="5"/>
        <v>3.4257286785698668</v>
      </c>
    </row>
    <row r="24" spans="1:12" x14ac:dyDescent="0.3">
      <c r="C24" s="6">
        <v>70</v>
      </c>
      <c r="D24" s="7">
        <f t="shared" ref="D24:D29" si="8">RADIANS(C24)</f>
        <v>1.2217304763960306</v>
      </c>
      <c r="E24" s="7">
        <f t="shared" ref="E24:E29" si="9">$B$8/(E$2+$B$6*E$3*COS($D24))</f>
        <v>2.6721450998943213</v>
      </c>
      <c r="F24" s="7">
        <f t="shared" ref="F24:F29" si="10">E24*COS($D24)-$B$3</f>
        <v>-2.0860725499471604</v>
      </c>
      <c r="G24" s="7">
        <f t="shared" ref="G24:G29" si="11">E24*SIN($D24)</f>
        <v>2.5109950320399177</v>
      </c>
      <c r="H24" s="6">
        <v>36</v>
      </c>
      <c r="I24" s="7">
        <f t="shared" ref="I24:I25" si="12">RADIANS(H24)</f>
        <v>0.62831853071795862</v>
      </c>
      <c r="J24" s="7">
        <f t="shared" si="3"/>
        <v>7.2811529493745262</v>
      </c>
      <c r="K24" s="7">
        <f t="shared" si="4"/>
        <v>2.8905764746872631</v>
      </c>
      <c r="L24" s="7">
        <f t="shared" si="5"/>
        <v>4.2797543233281905</v>
      </c>
    </row>
    <row r="25" spans="1:12" x14ac:dyDescent="0.3">
      <c r="C25" s="6">
        <v>80</v>
      </c>
      <c r="D25" s="7">
        <f t="shared" si="8"/>
        <v>1.3962634015954636</v>
      </c>
      <c r="E25" s="7">
        <f t="shared" si="9"/>
        <v>3.340022395358516</v>
      </c>
      <c r="F25" s="7">
        <f t="shared" si="10"/>
        <v>-2.420011197679258</v>
      </c>
      <c r="G25" s="7">
        <f t="shared" si="11"/>
        <v>3.2892799501834729</v>
      </c>
      <c r="H25" s="6">
        <v>40</v>
      </c>
      <c r="I25" s="7">
        <f t="shared" si="12"/>
        <v>0.69813170079773179</v>
      </c>
      <c r="J25" s="7">
        <f t="shared" si="3"/>
        <v>8.4572335870731763</v>
      </c>
      <c r="K25" s="7">
        <f t="shared" si="4"/>
        <v>3.4786167935365881</v>
      </c>
      <c r="L25" s="7">
        <f t="shared" si="5"/>
        <v>5.4362049619954833</v>
      </c>
    </row>
    <row r="26" spans="1:12" x14ac:dyDescent="0.3">
      <c r="C26" s="6">
        <v>90</v>
      </c>
      <c r="D26" s="7">
        <f t="shared" si="8"/>
        <v>1.5707963267948966</v>
      </c>
      <c r="E26" s="7">
        <f t="shared" si="9"/>
        <v>4.4999999999999991</v>
      </c>
      <c r="F26" s="7">
        <f t="shared" si="10"/>
        <v>-2.9999999999999996</v>
      </c>
      <c r="G26" s="7">
        <f t="shared" si="11"/>
        <v>4.4999999999999991</v>
      </c>
      <c r="H26" s="6"/>
      <c r="I26" s="7"/>
      <c r="J26" s="7"/>
      <c r="K26" s="7"/>
      <c r="L26" s="7"/>
    </row>
    <row r="27" spans="1:12" x14ac:dyDescent="0.3">
      <c r="C27" s="6">
        <v>100</v>
      </c>
      <c r="D27" s="7">
        <f t="shared" si="8"/>
        <v>1.7453292519943295</v>
      </c>
      <c r="E27" s="7">
        <f t="shared" si="9"/>
        <v>6.8943999880708011</v>
      </c>
      <c r="F27" s="7">
        <f t="shared" si="10"/>
        <v>-4.197199994035401</v>
      </c>
      <c r="G27" s="7">
        <f t="shared" si="11"/>
        <v>6.7896585606193991</v>
      </c>
      <c r="H27" s="6"/>
      <c r="I27" s="7"/>
      <c r="J27" s="7"/>
      <c r="K27" s="7"/>
      <c r="L27" s="7"/>
    </row>
    <row r="28" spans="1:12" x14ac:dyDescent="0.3">
      <c r="C28" s="6">
        <v>110</v>
      </c>
      <c r="D28" s="7">
        <f t="shared" si="8"/>
        <v>1.9198621771937625</v>
      </c>
      <c r="E28" s="7">
        <f t="shared" si="9"/>
        <v>14.242322074252028</v>
      </c>
      <c r="F28" s="7">
        <f t="shared" si="10"/>
        <v>-7.8711610371260141</v>
      </c>
      <c r="G28" s="7">
        <f t="shared" si="11"/>
        <v>13.383404956030883</v>
      </c>
      <c r="H28" s="6"/>
      <c r="I28" s="7"/>
      <c r="J28" s="7"/>
      <c r="K28" s="7"/>
      <c r="L28" s="7"/>
    </row>
    <row r="29" spans="1:12" x14ac:dyDescent="0.3">
      <c r="C29" s="6">
        <v>120</v>
      </c>
      <c r="D29" s="7">
        <f t="shared" si="8"/>
        <v>2.0943951023931953</v>
      </c>
      <c r="E29" s="7">
        <f t="shared" si="9"/>
        <v>1.0133099161583616E+16</v>
      </c>
      <c r="F29" s="7">
        <f t="shared" si="10"/>
        <v>-5066549580791809</v>
      </c>
      <c r="G29" s="7">
        <f t="shared" si="11"/>
        <v>8775521292998208</v>
      </c>
      <c r="H29" s="6"/>
      <c r="I29" s="7"/>
      <c r="J29" s="7"/>
      <c r="K29" s="7"/>
      <c r="L29" s="7"/>
    </row>
    <row r="30" spans="1:12" x14ac:dyDescent="0.3">
      <c r="C30" s="6"/>
      <c r="D30" s="7"/>
      <c r="E30" s="7"/>
      <c r="F30" s="7"/>
      <c r="G30" s="7"/>
      <c r="H30" s="6"/>
      <c r="I30" s="7"/>
      <c r="J30" s="7"/>
      <c r="K30" s="7"/>
      <c r="L30" s="7"/>
    </row>
    <row r="31" spans="1:12" x14ac:dyDescent="0.3">
      <c r="C31" s="6"/>
      <c r="D31" s="7"/>
      <c r="E31" s="7"/>
      <c r="F31" s="7"/>
      <c r="G31" s="7"/>
      <c r="H31" s="6"/>
      <c r="I31" s="7"/>
      <c r="J31" s="7"/>
      <c r="K31" s="7"/>
      <c r="L31" s="7"/>
    </row>
    <row r="32" spans="1:12" x14ac:dyDescent="0.3">
      <c r="B32" s="1" t="s">
        <v>39</v>
      </c>
      <c r="D32" s="7"/>
      <c r="E32" s="7"/>
      <c r="F32" s="7"/>
      <c r="G32" s="7"/>
      <c r="H32" s="6"/>
      <c r="I32" s="7"/>
      <c r="J32" s="7"/>
      <c r="K32" s="7"/>
      <c r="L32" s="7"/>
    </row>
    <row r="33" spans="2:12" x14ac:dyDescent="0.3">
      <c r="B33" s="1">
        <f>1/2/B6</f>
        <v>0.25</v>
      </c>
      <c r="C33" s="5">
        <f>-B33+SQRT(B33^2+B8*B33/B9)</f>
        <v>0.65138781886599728</v>
      </c>
      <c r="D33" s="1" t="s">
        <v>42</v>
      </c>
      <c r="E33" s="13">
        <f>DEGREES(ACOS(C33))</f>
        <v>49.353680627925655</v>
      </c>
      <c r="F33" s="7"/>
      <c r="G33" s="7"/>
      <c r="H33" s="6"/>
      <c r="I33" s="7"/>
      <c r="J33" s="7"/>
      <c r="K33" s="7"/>
      <c r="L33" s="7"/>
    </row>
    <row r="34" spans="2:12" x14ac:dyDescent="0.3">
      <c r="C34" s="6" t="s">
        <v>40</v>
      </c>
      <c r="D34" s="7"/>
      <c r="E34" s="7"/>
      <c r="F34" s="7"/>
      <c r="G34" s="7"/>
      <c r="H34" s="6"/>
      <c r="I34" s="7"/>
      <c r="J34" s="7"/>
      <c r="K34" s="7"/>
      <c r="L34" s="7"/>
    </row>
    <row r="35" spans="2:12" x14ac:dyDescent="0.3">
      <c r="B35" s="1" t="s">
        <v>21</v>
      </c>
      <c r="C35" s="14">
        <f>B9*COS(RADIANS(E33))</f>
        <v>0.97708172829899587</v>
      </c>
      <c r="D35" s="7">
        <f>C35*2.2</f>
        <v>2.149579802257791</v>
      </c>
      <c r="E35" s="7">
        <f>D35*2</f>
        <v>4.299159604515582</v>
      </c>
      <c r="F35" s="7"/>
      <c r="G35" s="7"/>
      <c r="H35" s="6"/>
      <c r="I35" s="7"/>
      <c r="J35" s="7"/>
      <c r="K35" s="7"/>
      <c r="L35" s="7"/>
    </row>
    <row r="36" spans="2:12" x14ac:dyDescent="0.3">
      <c r="B36" s="1" t="s">
        <v>41</v>
      </c>
      <c r="C36" s="5">
        <f>2*B3*SIN(RADIANS(E33))</f>
        <v>4.5524697406559387</v>
      </c>
      <c r="D36" s="7">
        <f t="shared" ref="D36:D37" si="13">C36*2.2</f>
        <v>10.015433429443066</v>
      </c>
      <c r="E36" s="7"/>
      <c r="F36" s="7"/>
      <c r="G36" s="7"/>
      <c r="H36" s="6"/>
      <c r="I36" s="7"/>
      <c r="J36" s="7"/>
      <c r="K36" s="7"/>
      <c r="L36" s="7"/>
    </row>
    <row r="37" spans="2:12" x14ac:dyDescent="0.3">
      <c r="B37" s="1" t="s">
        <v>20</v>
      </c>
      <c r="C37" s="5">
        <f>C36/TAN(RADIANS(E33))-C35</f>
        <v>2.9312451848969876</v>
      </c>
      <c r="D37" s="7">
        <f t="shared" si="13"/>
        <v>6.448739406773373</v>
      </c>
      <c r="E37" s="7">
        <f>D37*2</f>
        <v>12.897478813546746</v>
      </c>
      <c r="F37" s="7"/>
      <c r="G37" s="7"/>
      <c r="H37" s="6"/>
      <c r="I37" s="7"/>
      <c r="J37" s="7"/>
      <c r="K37" s="7"/>
      <c r="L37" s="7"/>
    </row>
    <row r="38" spans="2:12" x14ac:dyDescent="0.3">
      <c r="C38" s="5"/>
      <c r="D38" s="7"/>
      <c r="E38" s="7"/>
      <c r="F38" s="7"/>
      <c r="G38" s="7"/>
      <c r="H38" s="7"/>
      <c r="I38" s="7"/>
      <c r="J38" s="7"/>
      <c r="K38" s="7"/>
      <c r="L38" s="7"/>
    </row>
    <row r="39" spans="2:12" x14ac:dyDescent="0.3">
      <c r="B39" s="1" t="s">
        <v>0</v>
      </c>
      <c r="C39" s="7">
        <f>(C35+C37)/(C37-C35)</f>
        <v>2</v>
      </c>
      <c r="D39" s="7"/>
      <c r="E39" s="7"/>
      <c r="F39" s="7"/>
      <c r="G39" s="7"/>
      <c r="H39" s="7"/>
      <c r="I39" s="7"/>
      <c r="J39" s="7"/>
      <c r="K39" s="7"/>
      <c r="L39" s="7"/>
    </row>
    <row r="40" spans="2:12" x14ac:dyDescent="0.3">
      <c r="C40" s="6"/>
      <c r="D40" s="7"/>
      <c r="E40" s="7"/>
      <c r="F40" s="7"/>
      <c r="G40" s="7"/>
      <c r="H40" s="7"/>
      <c r="I40" s="7"/>
      <c r="J40" s="7"/>
      <c r="K40" s="7"/>
      <c r="L40" s="7"/>
    </row>
    <row r="41" spans="2:12" x14ac:dyDescent="0.3">
      <c r="C41" s="6"/>
      <c r="D41" s="7"/>
      <c r="E41" s="7"/>
      <c r="F41" s="7"/>
      <c r="G41" s="7"/>
      <c r="H41" s="7"/>
      <c r="I41" s="7"/>
      <c r="J41" s="7"/>
      <c r="K41" s="7"/>
      <c r="L41" s="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8D707-A761-4F06-ACE1-7088BA5CA45E}">
  <dimension ref="A1:L41"/>
  <sheetViews>
    <sheetView zoomScale="85" zoomScaleNormal="85" workbookViewId="0">
      <selection activeCell="W43" sqref="W43"/>
    </sheetView>
  </sheetViews>
  <sheetFormatPr defaultColWidth="11.5546875" defaultRowHeight="14.4" x14ac:dyDescent="0.3"/>
  <cols>
    <col min="1" max="12" width="11.5546875" style="1"/>
  </cols>
  <sheetData>
    <row r="1" spans="1:12" x14ac:dyDescent="0.3">
      <c r="E1" s="1" t="s">
        <v>4</v>
      </c>
      <c r="J1" s="1" t="s">
        <v>4</v>
      </c>
    </row>
    <row r="2" spans="1:12" x14ac:dyDescent="0.3">
      <c r="A2" s="1" t="s">
        <v>3</v>
      </c>
      <c r="B2" s="4">
        <v>1</v>
      </c>
      <c r="E2" s="3">
        <v>1</v>
      </c>
      <c r="F2" s="1" t="s">
        <v>14</v>
      </c>
      <c r="J2" s="3">
        <v>-1</v>
      </c>
      <c r="K2" s="1" t="s">
        <v>11</v>
      </c>
    </row>
    <row r="3" spans="1:12" x14ac:dyDescent="0.3">
      <c r="A3" s="1" t="s">
        <v>9</v>
      </c>
      <c r="B3" s="4">
        <v>2</v>
      </c>
      <c r="E3" s="3">
        <v>1</v>
      </c>
      <c r="F3" s="1" t="s">
        <v>10</v>
      </c>
      <c r="J3" s="3">
        <v>1</v>
      </c>
      <c r="K3" s="1" t="s">
        <v>10</v>
      </c>
    </row>
    <row r="4" spans="1:12" x14ac:dyDescent="0.3">
      <c r="A4" s="1" t="s">
        <v>16</v>
      </c>
      <c r="B4" s="5">
        <f>SQRT(B3^2-B2^2)</f>
        <v>1.7320508075688772</v>
      </c>
      <c r="C4" s="2" t="s">
        <v>17</v>
      </c>
      <c r="D4" s="2" t="s">
        <v>17</v>
      </c>
      <c r="E4" s="1" t="s">
        <v>18</v>
      </c>
      <c r="F4" s="1" t="s">
        <v>1</v>
      </c>
      <c r="G4" s="1" t="s">
        <v>2</v>
      </c>
      <c r="H4" s="2" t="s">
        <v>17</v>
      </c>
      <c r="I4" s="2" t="s">
        <v>17</v>
      </c>
      <c r="J4" s="1" t="s">
        <v>19</v>
      </c>
      <c r="K4" s="1" t="s">
        <v>1</v>
      </c>
      <c r="L4" s="1" t="s">
        <v>2</v>
      </c>
    </row>
    <row r="5" spans="1:12" x14ac:dyDescent="0.3">
      <c r="A5" s="1" t="s">
        <v>7</v>
      </c>
      <c r="B5" s="5">
        <f>-(B4^2/B2^2)-1</f>
        <v>-3.9999999999999996</v>
      </c>
      <c r="C5" s="6">
        <v>-120</v>
      </c>
      <c r="D5" s="7">
        <f>RADIANS(C5)</f>
        <v>-2.0943951023931953</v>
      </c>
      <c r="E5" s="7">
        <f t="shared" ref="E5:E29" si="0">$B$8/(E$2+$B$6*E$3*COS($D5))</f>
        <v>6755399441055743</v>
      </c>
      <c r="F5" s="8">
        <f t="shared" ref="F5:F29" si="1">E5*COS($D5)-$B$3</f>
        <v>-3377699720527872</v>
      </c>
      <c r="G5" s="8">
        <f>E5*SIN($D5)</f>
        <v>-5850347528665471</v>
      </c>
      <c r="H5" s="6">
        <v>-40</v>
      </c>
      <c r="I5" s="7">
        <f>RADIANS(H5)</f>
        <v>-0.69813170079773179</v>
      </c>
      <c r="J5" s="7">
        <f>$B$8/(J$2+$B$6*J$3*COS($I5))</f>
        <v>5.6381557247154497</v>
      </c>
      <c r="K5" s="7">
        <f>J5*COS($I5)-$B$3</f>
        <v>2.3190778623577248</v>
      </c>
      <c r="L5" s="7">
        <f>J5*SIN($I5)</f>
        <v>-3.6241366413303213</v>
      </c>
    </row>
    <row r="6" spans="1:12" x14ac:dyDescent="0.3">
      <c r="A6" s="1" t="s">
        <v>0</v>
      </c>
      <c r="B6" s="7">
        <f>SQRT(-B5)</f>
        <v>2</v>
      </c>
      <c r="C6" s="6">
        <v>-110</v>
      </c>
      <c r="D6" s="7">
        <f>RADIANS(C6)</f>
        <v>-1.9198621771937625</v>
      </c>
      <c r="E6" s="7">
        <f t="shared" si="0"/>
        <v>9.4948813828346843</v>
      </c>
      <c r="F6" s="7">
        <f t="shared" si="1"/>
        <v>-5.2474406914173422</v>
      </c>
      <c r="G6" s="7">
        <f t="shared" ref="G6:G29" si="2">E6*SIN($D6)</f>
        <v>-8.922269970687255</v>
      </c>
      <c r="H6" s="6">
        <v>-36</v>
      </c>
      <c r="I6" s="7">
        <f>RADIANS(H6)</f>
        <v>-0.62831853071795862</v>
      </c>
      <c r="J6" s="7">
        <f t="shared" ref="J6:J26" si="3">$B$8/(J$2+$B$6*J$3*COS($I6))</f>
        <v>4.8541019662496838</v>
      </c>
      <c r="K6" s="7">
        <f t="shared" ref="K6:K26" si="4">J6*COS($I6)-$B$3</f>
        <v>1.9270509831248419</v>
      </c>
      <c r="L6" s="7">
        <f t="shared" ref="L6:L26" si="5">J6*SIN($I6)</f>
        <v>-2.8531695488854605</v>
      </c>
    </row>
    <row r="7" spans="1:12" x14ac:dyDescent="0.3">
      <c r="C7" s="6">
        <v>-100</v>
      </c>
      <c r="D7" s="7">
        <f t="shared" ref="D7:D29" si="6">RADIANS(C7)</f>
        <v>-1.7453292519943295</v>
      </c>
      <c r="E7" s="7">
        <f t="shared" si="0"/>
        <v>4.5962666587138665</v>
      </c>
      <c r="F7" s="7">
        <f t="shared" si="1"/>
        <v>-2.7981333293569337</v>
      </c>
      <c r="G7" s="7">
        <f t="shared" si="2"/>
        <v>-4.5264390404129324</v>
      </c>
      <c r="H7" s="6">
        <v>-32</v>
      </c>
      <c r="I7" s="7">
        <f t="shared" ref="I7:I26" si="7">RADIANS(H7)</f>
        <v>-0.55850536063818546</v>
      </c>
      <c r="J7" s="7">
        <f t="shared" si="3"/>
        <v>4.3097491885887038</v>
      </c>
      <c r="K7" s="7">
        <f t="shared" si="4"/>
        <v>1.6548745942943519</v>
      </c>
      <c r="L7" s="7">
        <f t="shared" si="5"/>
        <v>-2.2838191190465778</v>
      </c>
    </row>
    <row r="8" spans="1:12" x14ac:dyDescent="0.3">
      <c r="A8" s="1" t="s">
        <v>38</v>
      </c>
      <c r="B8" s="7">
        <f>B4^2/B2</f>
        <v>2.9999999999999996</v>
      </c>
      <c r="C8" s="6">
        <v>-90</v>
      </c>
      <c r="D8" s="7">
        <f t="shared" si="6"/>
        <v>-1.5707963267948966</v>
      </c>
      <c r="E8" s="7">
        <f t="shared" si="0"/>
        <v>2.9999999999999991</v>
      </c>
      <c r="F8" s="7">
        <f t="shared" si="1"/>
        <v>-1.9999999999999998</v>
      </c>
      <c r="G8" s="7">
        <f t="shared" si="2"/>
        <v>-2.9999999999999991</v>
      </c>
      <c r="H8" s="6">
        <v>-28</v>
      </c>
      <c r="I8" s="7">
        <f t="shared" si="7"/>
        <v>-0.48869219055841229</v>
      </c>
      <c r="J8" s="7">
        <f t="shared" si="3"/>
        <v>3.91698506002251</v>
      </c>
      <c r="K8" s="7">
        <f t="shared" si="4"/>
        <v>1.458492530011255</v>
      </c>
      <c r="L8" s="7">
        <f t="shared" si="5"/>
        <v>-1.8389130975377541</v>
      </c>
    </row>
    <row r="9" spans="1:12" x14ac:dyDescent="0.3">
      <c r="A9" s="1" t="s">
        <v>6</v>
      </c>
      <c r="B9" s="7">
        <f>B8/(1+B6)</f>
        <v>0.99999999999999989</v>
      </c>
      <c r="C9" s="6">
        <v>-80</v>
      </c>
      <c r="D9" s="7">
        <f t="shared" si="6"/>
        <v>-1.3962634015954636</v>
      </c>
      <c r="E9" s="7">
        <f t="shared" si="0"/>
        <v>2.226681596905677</v>
      </c>
      <c r="F9" s="7">
        <f t="shared" si="1"/>
        <v>-1.6133407984528387</v>
      </c>
      <c r="G9" s="7">
        <f t="shared" si="2"/>
        <v>-2.1928533001223149</v>
      </c>
      <c r="H9" s="6">
        <v>-24</v>
      </c>
      <c r="I9" s="7">
        <f t="shared" si="7"/>
        <v>-0.41887902047863912</v>
      </c>
      <c r="J9" s="7">
        <f t="shared" si="3"/>
        <v>3.6271707796059207</v>
      </c>
      <c r="K9" s="7">
        <f t="shared" si="4"/>
        <v>1.3135853898029604</v>
      </c>
      <c r="L9" s="7">
        <f t="shared" si="5"/>
        <v>-1.4753032667595454</v>
      </c>
    </row>
    <row r="10" spans="1:12" x14ac:dyDescent="0.3">
      <c r="A10" s="1" t="s">
        <v>8</v>
      </c>
      <c r="B10" s="7">
        <f>B8/(1-B6)</f>
        <v>-2.9999999999999996</v>
      </c>
      <c r="C10" s="6">
        <v>-70</v>
      </c>
      <c r="D10" s="7">
        <f t="shared" si="6"/>
        <v>-1.2217304763960306</v>
      </c>
      <c r="E10" s="7">
        <f t="shared" si="0"/>
        <v>1.7814300665962137</v>
      </c>
      <c r="F10" s="7">
        <f t="shared" si="1"/>
        <v>-1.3907150332981071</v>
      </c>
      <c r="G10" s="7">
        <f t="shared" si="2"/>
        <v>-1.6739966880266113</v>
      </c>
      <c r="H10" s="6">
        <v>-20</v>
      </c>
      <c r="I10" s="7">
        <f t="shared" si="7"/>
        <v>-0.3490658503988659</v>
      </c>
      <c r="J10" s="7">
        <f t="shared" si="3"/>
        <v>3.4114741278097718</v>
      </c>
      <c r="K10" s="7">
        <f t="shared" si="4"/>
        <v>1.2057370639048854</v>
      </c>
      <c r="L10" s="7">
        <f t="shared" si="5"/>
        <v>-1.1667928701453087</v>
      </c>
    </row>
    <row r="11" spans="1:12" x14ac:dyDescent="0.3">
      <c r="B11" s="5"/>
      <c r="C11" s="6">
        <v>-60</v>
      </c>
      <c r="D11" s="7">
        <f t="shared" si="6"/>
        <v>-1.0471975511965976</v>
      </c>
      <c r="E11" s="7">
        <f t="shared" si="0"/>
        <v>1.4999999999999998</v>
      </c>
      <c r="F11" s="7">
        <f t="shared" si="1"/>
        <v>-1.25</v>
      </c>
      <c r="G11" s="7">
        <f t="shared" si="2"/>
        <v>-1.2990381056766578</v>
      </c>
      <c r="H11" s="6">
        <v>-16</v>
      </c>
      <c r="I11" s="7">
        <f t="shared" si="7"/>
        <v>-0.27925268031909273</v>
      </c>
      <c r="J11" s="7">
        <f t="shared" si="3"/>
        <v>3.2519500604719269</v>
      </c>
      <c r="K11" s="7">
        <f t="shared" si="4"/>
        <v>1.125975030235963</v>
      </c>
      <c r="L11" s="7">
        <f t="shared" si="5"/>
        <v>-0.89635891591741246</v>
      </c>
    </row>
    <row r="12" spans="1:12" x14ac:dyDescent="0.3">
      <c r="B12" s="5"/>
      <c r="C12" s="6">
        <v>-50</v>
      </c>
      <c r="D12" s="7">
        <f t="shared" si="6"/>
        <v>-0.87266462599716477</v>
      </c>
      <c r="E12" s="7">
        <f t="shared" si="0"/>
        <v>1.31257985935938</v>
      </c>
      <c r="F12" s="7">
        <f t="shared" si="1"/>
        <v>-1.1562899296796902</v>
      </c>
      <c r="G12" s="7">
        <f t="shared" si="2"/>
        <v>-1.0054945074121429</v>
      </c>
      <c r="H12" s="6">
        <v>-12</v>
      </c>
      <c r="I12" s="7">
        <f t="shared" si="7"/>
        <v>-0.20943951023931956</v>
      </c>
      <c r="J12" s="7">
        <f t="shared" si="3"/>
        <v>3.1371066124727451</v>
      </c>
      <c r="K12" s="7">
        <f t="shared" si="4"/>
        <v>1.0685533062363723</v>
      </c>
      <c r="L12" s="7">
        <f t="shared" si="5"/>
        <v>-0.65224114007478173</v>
      </c>
    </row>
    <row r="13" spans="1:12" x14ac:dyDescent="0.3">
      <c r="B13" s="8">
        <v>0</v>
      </c>
      <c r="C13" s="6">
        <v>-40</v>
      </c>
      <c r="D13" s="7">
        <f t="shared" si="6"/>
        <v>-0.69813170079773179</v>
      </c>
      <c r="E13" s="7">
        <f t="shared" si="0"/>
        <v>1.1847925309040954</v>
      </c>
      <c r="F13" s="7">
        <f t="shared" si="1"/>
        <v>-1.0923962654520478</v>
      </c>
      <c r="G13" s="7">
        <f t="shared" si="2"/>
        <v>-0.76156995891430868</v>
      </c>
      <c r="H13" s="6">
        <v>-8</v>
      </c>
      <c r="I13" s="7">
        <f t="shared" si="7"/>
        <v>-0.13962634015954636</v>
      </c>
      <c r="J13" s="7">
        <f t="shared" si="3"/>
        <v>3.0595506736757891</v>
      </c>
      <c r="K13" s="7">
        <f t="shared" si="4"/>
        <v>1.0297753368378944</v>
      </c>
      <c r="L13" s="7">
        <f t="shared" si="5"/>
        <v>-0.42580715479991682</v>
      </c>
    </row>
    <row r="14" spans="1:12" x14ac:dyDescent="0.3">
      <c r="A14" s="1" t="s">
        <v>12</v>
      </c>
      <c r="B14" s="5">
        <f>-B2-B9</f>
        <v>-2</v>
      </c>
      <c r="C14" s="6">
        <v>-30</v>
      </c>
      <c r="D14" s="7">
        <f t="shared" si="6"/>
        <v>-0.52359877559829882</v>
      </c>
      <c r="E14" s="7">
        <f t="shared" si="0"/>
        <v>1.0980762113533156</v>
      </c>
      <c r="F14" s="7">
        <f t="shared" si="1"/>
        <v>-1.0490381056766582</v>
      </c>
      <c r="G14" s="7">
        <f t="shared" si="2"/>
        <v>-0.54903810567665767</v>
      </c>
      <c r="H14" s="6">
        <v>-4</v>
      </c>
      <c r="I14" s="7">
        <f t="shared" si="7"/>
        <v>-6.9813170079773182E-2</v>
      </c>
      <c r="J14" s="7">
        <f t="shared" si="3"/>
        <v>3.0146872532625921</v>
      </c>
      <c r="K14" s="7">
        <f t="shared" si="4"/>
        <v>1.0073436266312958</v>
      </c>
      <c r="L14" s="7">
        <f t="shared" si="5"/>
        <v>-0.21029395222896125</v>
      </c>
    </row>
    <row r="15" spans="1:12" x14ac:dyDescent="0.3">
      <c r="A15" s="1" t="s">
        <v>13</v>
      </c>
      <c r="B15" s="5">
        <f>B2+B9</f>
        <v>2</v>
      </c>
      <c r="C15" s="6">
        <v>-20</v>
      </c>
      <c r="D15" s="7">
        <f t="shared" si="6"/>
        <v>-0.3490658503988659</v>
      </c>
      <c r="E15" s="7">
        <f t="shared" si="0"/>
        <v>1.0418890660015818</v>
      </c>
      <c r="F15" s="7">
        <f t="shared" si="1"/>
        <v>-1.0209445330007911</v>
      </c>
      <c r="G15" s="7">
        <f t="shared" si="2"/>
        <v>-0.3563470476833081</v>
      </c>
      <c r="H15" s="6">
        <v>0</v>
      </c>
      <c r="I15" s="7">
        <f t="shared" si="7"/>
        <v>0</v>
      </c>
      <c r="J15" s="7">
        <f t="shared" si="3"/>
        <v>2.9999999999999996</v>
      </c>
      <c r="K15" s="7">
        <f t="shared" si="4"/>
        <v>0.99999999999999956</v>
      </c>
      <c r="L15" s="7">
        <f t="shared" si="5"/>
        <v>0</v>
      </c>
    </row>
    <row r="16" spans="1:12" x14ac:dyDescent="0.3">
      <c r="C16" s="6">
        <v>-10</v>
      </c>
      <c r="D16" s="7">
        <f t="shared" si="6"/>
        <v>-0.17453292519943295</v>
      </c>
      <c r="E16" s="7">
        <f t="shared" si="0"/>
        <v>1.0102317939524301</v>
      </c>
      <c r="F16" s="7">
        <f t="shared" si="1"/>
        <v>-1.0051158969762155</v>
      </c>
      <c r="G16" s="7">
        <f t="shared" si="2"/>
        <v>-0.17542491004103333</v>
      </c>
      <c r="H16" s="6">
        <v>4</v>
      </c>
      <c r="I16" s="7">
        <f t="shared" si="7"/>
        <v>6.9813170079773182E-2</v>
      </c>
      <c r="J16" s="7">
        <f t="shared" si="3"/>
        <v>3.0146872532625921</v>
      </c>
      <c r="K16" s="7">
        <f t="shared" si="4"/>
        <v>1.0073436266312958</v>
      </c>
      <c r="L16" s="7">
        <f t="shared" si="5"/>
        <v>0.21029395222896125</v>
      </c>
    </row>
    <row r="17" spans="1:12" x14ac:dyDescent="0.3">
      <c r="A17" s="1" t="s">
        <v>15</v>
      </c>
      <c r="B17" s="1">
        <f>B8-B6*B3</f>
        <v>-1.0000000000000004</v>
      </c>
      <c r="C17" s="6">
        <v>0</v>
      </c>
      <c r="D17" s="7">
        <f t="shared" si="6"/>
        <v>0</v>
      </c>
      <c r="E17" s="7">
        <f t="shared" si="0"/>
        <v>0.99999999999999989</v>
      </c>
      <c r="F17" s="7">
        <f t="shared" si="1"/>
        <v>-1</v>
      </c>
      <c r="G17" s="7">
        <f t="shared" si="2"/>
        <v>0</v>
      </c>
      <c r="H17" s="6">
        <v>8</v>
      </c>
      <c r="I17" s="7">
        <f t="shared" si="7"/>
        <v>0.13962634015954636</v>
      </c>
      <c r="J17" s="7">
        <f t="shared" si="3"/>
        <v>3.0595506736757891</v>
      </c>
      <c r="K17" s="7">
        <f t="shared" si="4"/>
        <v>1.0297753368378944</v>
      </c>
      <c r="L17" s="7">
        <f t="shared" si="5"/>
        <v>0.42580715479991682</v>
      </c>
    </row>
    <row r="18" spans="1:12" x14ac:dyDescent="0.3">
      <c r="C18" s="6">
        <v>10</v>
      </c>
      <c r="D18" s="7">
        <f t="shared" si="6"/>
        <v>0.17453292519943295</v>
      </c>
      <c r="E18" s="7">
        <f t="shared" si="0"/>
        <v>1.0102317939524301</v>
      </c>
      <c r="F18" s="7">
        <f t="shared" si="1"/>
        <v>-1.0051158969762155</v>
      </c>
      <c r="G18" s="7">
        <f t="shared" si="2"/>
        <v>0.17542491004103333</v>
      </c>
      <c r="H18" s="6">
        <v>12</v>
      </c>
      <c r="I18" s="7">
        <f t="shared" si="7"/>
        <v>0.20943951023931956</v>
      </c>
      <c r="J18" s="7">
        <f t="shared" si="3"/>
        <v>3.1371066124727451</v>
      </c>
      <c r="K18" s="7">
        <f t="shared" si="4"/>
        <v>1.0685533062363723</v>
      </c>
      <c r="L18" s="7">
        <f t="shared" si="5"/>
        <v>0.65224114007478173</v>
      </c>
    </row>
    <row r="19" spans="1:12" x14ac:dyDescent="0.3">
      <c r="C19" s="6">
        <v>20</v>
      </c>
      <c r="D19" s="7">
        <f t="shared" si="6"/>
        <v>0.3490658503988659</v>
      </c>
      <c r="E19" s="7">
        <f t="shared" si="0"/>
        <v>1.0418890660015818</v>
      </c>
      <c r="F19" s="7">
        <f t="shared" si="1"/>
        <v>-1.0209445330007911</v>
      </c>
      <c r="G19" s="7">
        <f t="shared" si="2"/>
        <v>0.3563470476833081</v>
      </c>
      <c r="H19" s="6">
        <v>16</v>
      </c>
      <c r="I19" s="7">
        <f t="shared" si="7"/>
        <v>0.27925268031909273</v>
      </c>
      <c r="J19" s="7">
        <f t="shared" si="3"/>
        <v>3.2519500604719269</v>
      </c>
      <c r="K19" s="7">
        <f t="shared" si="4"/>
        <v>1.125975030235963</v>
      </c>
      <c r="L19" s="7">
        <f t="shared" si="5"/>
        <v>0.89635891591741246</v>
      </c>
    </row>
    <row r="20" spans="1:12" x14ac:dyDescent="0.3">
      <c r="B20" s="7">
        <f>SQRT(1+B4^2/B2^2)</f>
        <v>2</v>
      </c>
      <c r="C20" s="6">
        <v>30</v>
      </c>
      <c r="D20" s="7">
        <f t="shared" si="6"/>
        <v>0.52359877559829882</v>
      </c>
      <c r="E20" s="7">
        <f t="shared" si="0"/>
        <v>1.0980762113533156</v>
      </c>
      <c r="F20" s="7">
        <f t="shared" si="1"/>
        <v>-1.0490381056766582</v>
      </c>
      <c r="G20" s="7">
        <f t="shared" si="2"/>
        <v>0.54903810567665767</v>
      </c>
      <c r="H20" s="6">
        <v>20</v>
      </c>
      <c r="I20" s="7">
        <f t="shared" si="7"/>
        <v>0.3490658503988659</v>
      </c>
      <c r="J20" s="7">
        <f t="shared" si="3"/>
        <v>3.4114741278097718</v>
      </c>
      <c r="K20" s="7">
        <f t="shared" si="4"/>
        <v>1.2057370639048854</v>
      </c>
      <c r="L20" s="7">
        <f t="shared" si="5"/>
        <v>1.1667928701453087</v>
      </c>
    </row>
    <row r="21" spans="1:12" x14ac:dyDescent="0.3">
      <c r="C21" s="6">
        <v>40</v>
      </c>
      <c r="D21" s="7">
        <f t="shared" si="6"/>
        <v>0.69813170079773179</v>
      </c>
      <c r="E21" s="7">
        <f t="shared" si="0"/>
        <v>1.1847925309040954</v>
      </c>
      <c r="F21" s="7">
        <f t="shared" si="1"/>
        <v>-1.0923962654520478</v>
      </c>
      <c r="G21" s="7">
        <f t="shared" si="2"/>
        <v>0.76156995891430868</v>
      </c>
      <c r="H21" s="6">
        <v>24</v>
      </c>
      <c r="I21" s="7">
        <f t="shared" si="7"/>
        <v>0.41887902047863912</v>
      </c>
      <c r="J21" s="7">
        <f t="shared" si="3"/>
        <v>3.6271707796059207</v>
      </c>
      <c r="K21" s="7">
        <f t="shared" si="4"/>
        <v>1.3135853898029604</v>
      </c>
      <c r="L21" s="7">
        <f t="shared" si="5"/>
        <v>1.4753032667595454</v>
      </c>
    </row>
    <row r="22" spans="1:12" x14ac:dyDescent="0.3">
      <c r="B22" s="1">
        <f>B4/B2</f>
        <v>1.7320508075688772</v>
      </c>
      <c r="C22" s="6">
        <v>50</v>
      </c>
      <c r="D22" s="7">
        <f t="shared" si="6"/>
        <v>0.87266462599716477</v>
      </c>
      <c r="E22" s="7">
        <f t="shared" si="0"/>
        <v>1.31257985935938</v>
      </c>
      <c r="F22" s="7">
        <f t="shared" si="1"/>
        <v>-1.1562899296796902</v>
      </c>
      <c r="G22" s="7">
        <f t="shared" si="2"/>
        <v>1.0054945074121429</v>
      </c>
      <c r="H22" s="6">
        <v>28</v>
      </c>
      <c r="I22" s="7">
        <f t="shared" si="7"/>
        <v>0.48869219055841229</v>
      </c>
      <c r="J22" s="7">
        <f t="shared" si="3"/>
        <v>3.91698506002251</v>
      </c>
      <c r="K22" s="7">
        <f t="shared" si="4"/>
        <v>1.458492530011255</v>
      </c>
      <c r="L22" s="7">
        <f t="shared" si="5"/>
        <v>1.8389130975377541</v>
      </c>
    </row>
    <row r="23" spans="1:12" x14ac:dyDescent="0.3">
      <c r="B23" s="1">
        <f>DEGREES(ATAN(B22))</f>
        <v>59.999999999999993</v>
      </c>
      <c r="C23" s="6">
        <v>60</v>
      </c>
      <c r="D23" s="7">
        <f t="shared" si="6"/>
        <v>1.0471975511965976</v>
      </c>
      <c r="E23" s="7">
        <f t="shared" si="0"/>
        <v>1.4999999999999998</v>
      </c>
      <c r="F23" s="7">
        <f t="shared" si="1"/>
        <v>-1.25</v>
      </c>
      <c r="G23" s="7">
        <f t="shared" si="2"/>
        <v>1.2990381056766578</v>
      </c>
      <c r="H23" s="6">
        <v>32</v>
      </c>
      <c r="I23" s="7">
        <f t="shared" si="7"/>
        <v>0.55850536063818546</v>
      </c>
      <c r="J23" s="7">
        <f t="shared" si="3"/>
        <v>4.3097491885887038</v>
      </c>
      <c r="K23" s="7">
        <f t="shared" si="4"/>
        <v>1.6548745942943519</v>
      </c>
      <c r="L23" s="7">
        <f t="shared" si="5"/>
        <v>2.2838191190465778</v>
      </c>
    </row>
    <row r="24" spans="1:12" x14ac:dyDescent="0.3">
      <c r="C24" s="6">
        <v>70</v>
      </c>
      <c r="D24" s="7">
        <f t="shared" si="6"/>
        <v>1.2217304763960306</v>
      </c>
      <c r="E24" s="7">
        <f t="shared" si="0"/>
        <v>1.7814300665962137</v>
      </c>
      <c r="F24" s="7">
        <f t="shared" si="1"/>
        <v>-1.3907150332981071</v>
      </c>
      <c r="G24" s="7">
        <f t="shared" si="2"/>
        <v>1.6739966880266113</v>
      </c>
      <c r="H24" s="6">
        <v>36</v>
      </c>
      <c r="I24" s="7">
        <f t="shared" si="7"/>
        <v>0.62831853071795862</v>
      </c>
      <c r="J24" s="7">
        <f t="shared" si="3"/>
        <v>4.8541019662496838</v>
      </c>
      <c r="K24" s="7">
        <f t="shared" si="4"/>
        <v>1.9270509831248419</v>
      </c>
      <c r="L24" s="7">
        <f t="shared" si="5"/>
        <v>2.8531695488854605</v>
      </c>
    </row>
    <row r="25" spans="1:12" x14ac:dyDescent="0.3">
      <c r="C25" s="6">
        <v>80</v>
      </c>
      <c r="D25" s="7">
        <f t="shared" si="6"/>
        <v>1.3962634015954636</v>
      </c>
      <c r="E25" s="7">
        <f t="shared" si="0"/>
        <v>2.226681596905677</v>
      </c>
      <c r="F25" s="7">
        <f t="shared" si="1"/>
        <v>-1.6133407984528387</v>
      </c>
      <c r="G25" s="7">
        <f t="shared" si="2"/>
        <v>2.1928533001223149</v>
      </c>
      <c r="H25" s="6">
        <v>40</v>
      </c>
      <c r="I25" s="7">
        <f t="shared" si="7"/>
        <v>0.69813170079773179</v>
      </c>
      <c r="J25" s="7">
        <f t="shared" si="3"/>
        <v>5.6381557247154497</v>
      </c>
      <c r="K25" s="7">
        <f t="shared" si="4"/>
        <v>2.3190778623577248</v>
      </c>
      <c r="L25" s="7">
        <f t="shared" si="5"/>
        <v>3.6241366413303213</v>
      </c>
    </row>
    <row r="26" spans="1:12" x14ac:dyDescent="0.3">
      <c r="C26" s="6">
        <v>90</v>
      </c>
      <c r="D26" s="7">
        <f t="shared" si="6"/>
        <v>1.5707963267948966</v>
      </c>
      <c r="E26" s="7">
        <f t="shared" si="0"/>
        <v>2.9999999999999991</v>
      </c>
      <c r="F26" s="7">
        <f t="shared" si="1"/>
        <v>-1.9999999999999998</v>
      </c>
      <c r="G26" s="7">
        <f t="shared" si="2"/>
        <v>2.9999999999999991</v>
      </c>
      <c r="H26" s="6">
        <v>44</v>
      </c>
      <c r="I26" s="7">
        <f t="shared" si="7"/>
        <v>0.76794487087750496</v>
      </c>
      <c r="J26" s="7">
        <f t="shared" si="3"/>
        <v>6.8387041370698087</v>
      </c>
      <c r="K26" s="7">
        <f t="shared" si="4"/>
        <v>2.9193520685349039</v>
      </c>
      <c r="L26" s="7">
        <f t="shared" si="5"/>
        <v>4.7505630719081164</v>
      </c>
    </row>
    <row r="27" spans="1:12" x14ac:dyDescent="0.3">
      <c r="C27" s="6">
        <v>100</v>
      </c>
      <c r="D27" s="7">
        <f t="shared" si="6"/>
        <v>1.7453292519943295</v>
      </c>
      <c r="E27" s="7">
        <f t="shared" si="0"/>
        <v>4.5962666587138665</v>
      </c>
      <c r="F27" s="7">
        <f t="shared" si="1"/>
        <v>-2.7981333293569337</v>
      </c>
      <c r="G27" s="7">
        <f t="shared" si="2"/>
        <v>4.5264390404129324</v>
      </c>
      <c r="H27" s="6"/>
      <c r="I27" s="7"/>
      <c r="J27" s="7"/>
      <c r="K27" s="7"/>
      <c r="L27" s="7"/>
    </row>
    <row r="28" spans="1:12" x14ac:dyDescent="0.3">
      <c r="C28" s="6">
        <v>110</v>
      </c>
      <c r="D28" s="7">
        <f t="shared" si="6"/>
        <v>1.9198621771937625</v>
      </c>
      <c r="E28" s="7">
        <f t="shared" si="0"/>
        <v>9.4948813828346843</v>
      </c>
      <c r="F28" s="7">
        <f t="shared" si="1"/>
        <v>-5.2474406914173422</v>
      </c>
      <c r="G28" s="7">
        <f t="shared" si="2"/>
        <v>8.922269970687255</v>
      </c>
      <c r="H28" s="6"/>
      <c r="I28" s="7"/>
      <c r="J28" s="7"/>
      <c r="K28" s="7"/>
      <c r="L28" s="7"/>
    </row>
    <row r="29" spans="1:12" x14ac:dyDescent="0.3">
      <c r="C29" s="6">
        <v>120</v>
      </c>
      <c r="D29" s="7">
        <f t="shared" si="6"/>
        <v>2.0943951023931953</v>
      </c>
      <c r="E29" s="7">
        <f t="shared" si="0"/>
        <v>6755399441055743</v>
      </c>
      <c r="F29" s="7">
        <f t="shared" si="1"/>
        <v>-3377699720527872</v>
      </c>
      <c r="G29" s="7">
        <f t="shared" si="2"/>
        <v>5850347528665471</v>
      </c>
      <c r="H29" s="6"/>
      <c r="I29" s="7"/>
      <c r="J29" s="7"/>
      <c r="K29" s="7"/>
      <c r="L29" s="7"/>
    </row>
    <row r="30" spans="1:12" x14ac:dyDescent="0.3">
      <c r="C30" s="6"/>
      <c r="D30" s="7"/>
      <c r="E30" s="7"/>
      <c r="F30" s="7"/>
      <c r="G30" s="7"/>
      <c r="H30" s="6"/>
      <c r="I30" s="7"/>
      <c r="J30" s="7"/>
      <c r="K30" s="7"/>
      <c r="L30" s="7"/>
    </row>
    <row r="31" spans="1:12" x14ac:dyDescent="0.3">
      <c r="C31" s="6"/>
      <c r="D31" s="7"/>
      <c r="E31" s="7"/>
      <c r="F31" s="7"/>
      <c r="G31" s="7"/>
      <c r="H31" s="6"/>
      <c r="I31" s="7"/>
      <c r="J31" s="7"/>
      <c r="K31" s="7"/>
      <c r="L31" s="7"/>
    </row>
    <row r="32" spans="1:12" x14ac:dyDescent="0.3">
      <c r="B32" s="1" t="s">
        <v>39</v>
      </c>
      <c r="D32" s="7"/>
      <c r="E32" s="7"/>
      <c r="F32" s="7"/>
      <c r="G32" s="7"/>
      <c r="H32" s="6"/>
      <c r="I32" s="7"/>
      <c r="J32" s="7"/>
      <c r="K32" s="7"/>
      <c r="L32" s="7"/>
    </row>
    <row r="33" spans="2:12" x14ac:dyDescent="0.3">
      <c r="B33" s="1">
        <f>1/2/B6</f>
        <v>0.25</v>
      </c>
      <c r="C33" s="5">
        <f>-B33+SQRT(B33^2+B8*B33/B9)</f>
        <v>0.65138781886599728</v>
      </c>
      <c r="D33" s="1" t="s">
        <v>42</v>
      </c>
      <c r="E33" s="13">
        <f>DEGREES(ACOS(C33))</f>
        <v>49.353680627925655</v>
      </c>
      <c r="F33" s="7"/>
      <c r="G33" s="7"/>
      <c r="H33" s="6"/>
      <c r="I33" s="7"/>
      <c r="J33" s="7"/>
      <c r="K33" s="7"/>
      <c r="L33" s="7"/>
    </row>
    <row r="34" spans="2:12" x14ac:dyDescent="0.3">
      <c r="C34" s="6" t="s">
        <v>40</v>
      </c>
      <c r="D34" s="7"/>
      <c r="E34" s="7"/>
      <c r="F34" s="7"/>
      <c r="G34" s="7"/>
      <c r="H34" s="6"/>
      <c r="I34" s="7"/>
      <c r="J34" s="7"/>
      <c r="K34" s="7"/>
      <c r="L34" s="7"/>
    </row>
    <row r="35" spans="2:12" x14ac:dyDescent="0.3">
      <c r="B35" s="1" t="s">
        <v>21</v>
      </c>
      <c r="C35" s="14">
        <f>B9*COS(RADIANS(E33))</f>
        <v>0.65138781886599717</v>
      </c>
      <c r="D35" s="7">
        <f>C35*2.2</f>
        <v>1.433053201505194</v>
      </c>
      <c r="E35" s="7">
        <f>D35*2</f>
        <v>2.866106403010388</v>
      </c>
      <c r="F35" s="7"/>
      <c r="G35" s="7"/>
      <c r="H35" s="6"/>
      <c r="I35" s="7"/>
      <c r="J35" s="7"/>
      <c r="K35" s="7"/>
      <c r="L35" s="7"/>
    </row>
    <row r="36" spans="2:12" x14ac:dyDescent="0.3">
      <c r="B36" s="1" t="s">
        <v>41</v>
      </c>
      <c r="C36" s="5">
        <f>2*B3*SIN(RADIANS(E33))</f>
        <v>3.0349798271039594</v>
      </c>
      <c r="D36" s="7">
        <f t="shared" ref="D36:D37" si="8">C36*2.2</f>
        <v>6.6769556196287114</v>
      </c>
      <c r="E36" s="7"/>
      <c r="F36" s="7"/>
      <c r="G36" s="7"/>
      <c r="H36" s="6"/>
      <c r="I36" s="7"/>
      <c r="J36" s="7"/>
      <c r="K36" s="7"/>
      <c r="L36" s="7"/>
    </row>
    <row r="37" spans="2:12" x14ac:dyDescent="0.3">
      <c r="B37" s="1" t="s">
        <v>20</v>
      </c>
      <c r="C37" s="5">
        <f>C36/TAN(RADIANS(E33))-C35</f>
        <v>1.954163456597992</v>
      </c>
      <c r="D37" s="7">
        <f t="shared" si="8"/>
        <v>4.2991596045155829</v>
      </c>
      <c r="E37" s="7">
        <f>D37*2</f>
        <v>8.5983192090311658</v>
      </c>
      <c r="F37" s="7"/>
      <c r="G37" s="7"/>
      <c r="H37" s="6"/>
      <c r="I37" s="7"/>
      <c r="J37" s="7"/>
      <c r="K37" s="7"/>
      <c r="L37" s="7"/>
    </row>
    <row r="38" spans="2:12" x14ac:dyDescent="0.3">
      <c r="C38" s="5"/>
      <c r="D38" s="7"/>
      <c r="E38" s="7"/>
      <c r="F38" s="7"/>
      <c r="G38" s="7"/>
      <c r="H38" s="7"/>
      <c r="I38" s="7"/>
      <c r="J38" s="7"/>
      <c r="K38" s="7"/>
      <c r="L38" s="7"/>
    </row>
    <row r="39" spans="2:12" x14ac:dyDescent="0.3">
      <c r="B39" s="1" t="s">
        <v>0</v>
      </c>
      <c r="C39" s="7">
        <f>(C35+C37)/(C37-C35)</f>
        <v>1.9999999999999996</v>
      </c>
      <c r="D39" s="7"/>
      <c r="E39" s="7"/>
      <c r="F39" s="7"/>
      <c r="G39" s="7"/>
      <c r="H39" s="7"/>
      <c r="I39" s="7"/>
      <c r="J39" s="7"/>
      <c r="K39" s="7"/>
      <c r="L39" s="7"/>
    </row>
    <row r="40" spans="2:12" x14ac:dyDescent="0.3">
      <c r="C40" s="6"/>
      <c r="D40" s="7"/>
      <c r="E40" s="7"/>
      <c r="F40" s="7"/>
      <c r="G40" s="7"/>
      <c r="H40" s="7"/>
      <c r="I40" s="7"/>
      <c r="J40" s="7"/>
      <c r="K40" s="7"/>
      <c r="L40" s="7"/>
    </row>
    <row r="41" spans="2:12" x14ac:dyDescent="0.3">
      <c r="C41" s="6"/>
      <c r="D41" s="7"/>
      <c r="E41" s="7"/>
      <c r="F41" s="7"/>
      <c r="G41" s="7"/>
      <c r="H41" s="7"/>
      <c r="I41" s="7"/>
      <c r="J41" s="7"/>
      <c r="K41" s="7"/>
      <c r="L41" s="7"/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20127-02AA-4D31-86B0-6F4ECB10B4EE}">
  <dimension ref="B2:J54"/>
  <sheetViews>
    <sheetView zoomScale="85" zoomScaleNormal="85" workbookViewId="0">
      <selection activeCell="N42" sqref="N42"/>
    </sheetView>
  </sheetViews>
  <sheetFormatPr defaultColWidth="11.109375" defaultRowHeight="14.4" x14ac:dyDescent="0.3"/>
  <cols>
    <col min="1" max="3" width="11.109375" style="1"/>
    <col min="4" max="4" width="13.109375" style="1" customWidth="1"/>
    <col min="5" max="16384" width="11.109375" style="1"/>
  </cols>
  <sheetData>
    <row r="2" spans="2:10" x14ac:dyDescent="0.3">
      <c r="D2" s="1" t="s">
        <v>1</v>
      </c>
      <c r="E2" s="1" t="s">
        <v>2</v>
      </c>
      <c r="G2" s="1" t="s">
        <v>1</v>
      </c>
      <c r="H2" s="1" t="s">
        <v>2</v>
      </c>
      <c r="I2" s="1" t="s">
        <v>1</v>
      </c>
      <c r="J2" s="1" t="s">
        <v>2</v>
      </c>
    </row>
    <row r="3" spans="2:10" x14ac:dyDescent="0.3">
      <c r="B3" s="1" t="s">
        <v>23</v>
      </c>
      <c r="C3" s="1" t="s">
        <v>20</v>
      </c>
      <c r="D3" s="1">
        <v>0</v>
      </c>
      <c r="E3" s="3">
        <v>20</v>
      </c>
      <c r="G3" s="1">
        <f>D3</f>
        <v>0</v>
      </c>
      <c r="H3" s="1">
        <f>-E3</f>
        <v>-20</v>
      </c>
      <c r="I3" s="1">
        <f>G3</f>
        <v>0</v>
      </c>
      <c r="J3" s="1">
        <f>E3</f>
        <v>20</v>
      </c>
    </row>
    <row r="4" spans="2:10" x14ac:dyDescent="0.3">
      <c r="B4" s="1" t="s">
        <v>22</v>
      </c>
      <c r="C4" s="1" t="s">
        <v>21</v>
      </c>
      <c r="D4" s="3">
        <v>50</v>
      </c>
      <c r="E4" s="3">
        <v>10</v>
      </c>
      <c r="G4" s="1">
        <f>D4</f>
        <v>50</v>
      </c>
      <c r="H4" s="1">
        <f>-E4</f>
        <v>-10</v>
      </c>
      <c r="I4" s="1">
        <f>G4</f>
        <v>50</v>
      </c>
      <c r="J4" s="1">
        <f>E4</f>
        <v>10</v>
      </c>
    </row>
    <row r="5" spans="2:10" x14ac:dyDescent="0.3">
      <c r="F5" s="1" t="s">
        <v>26</v>
      </c>
      <c r="G5" s="1">
        <f>G3</f>
        <v>0</v>
      </c>
      <c r="H5" s="1">
        <v>0</v>
      </c>
      <c r="I5" s="1">
        <f>I4</f>
        <v>50</v>
      </c>
      <c r="J5" s="1">
        <v>0</v>
      </c>
    </row>
    <row r="6" spans="2:10" x14ac:dyDescent="0.3">
      <c r="C6" s="1" t="s">
        <v>25</v>
      </c>
      <c r="D6" s="10">
        <f>DEGREES(ATAN(D4/(E3+E4)))</f>
        <v>59.036243467926482</v>
      </c>
      <c r="F6" s="1" t="s">
        <v>27</v>
      </c>
      <c r="G6" s="1">
        <f>I3</f>
        <v>0</v>
      </c>
      <c r="H6" s="1">
        <f>J3</f>
        <v>20</v>
      </c>
      <c r="I6" s="1">
        <f>G4</f>
        <v>50</v>
      </c>
      <c r="J6" s="1">
        <f>H4</f>
        <v>-10</v>
      </c>
    </row>
    <row r="7" spans="2:10" x14ac:dyDescent="0.3">
      <c r="C7" s="1" t="s">
        <v>28</v>
      </c>
      <c r="D7" s="9">
        <f>(E4+E3)/COS(RADIANS(D6))</f>
        <v>58.309518948453011</v>
      </c>
    </row>
    <row r="8" spans="2:10" x14ac:dyDescent="0.3">
      <c r="C8" s="1" t="s">
        <v>9</v>
      </c>
      <c r="D8" s="9">
        <f>D7/2</f>
        <v>29.154759474226505</v>
      </c>
      <c r="F8" s="1" t="s">
        <v>24</v>
      </c>
      <c r="G8" s="1">
        <f>D4/2</f>
        <v>25</v>
      </c>
      <c r="H8" s="1">
        <f>E3-(E3+E4)/2</f>
        <v>5</v>
      </c>
    </row>
    <row r="9" spans="2:10" x14ac:dyDescent="0.3">
      <c r="C9" s="1" t="s">
        <v>29</v>
      </c>
    </row>
    <row r="10" spans="2:10" x14ac:dyDescent="0.3">
      <c r="C10" s="1" t="s">
        <v>32</v>
      </c>
      <c r="D10" s="5">
        <f>COS(RADIANS(D6))</f>
        <v>0.51449575542752646</v>
      </c>
    </row>
    <row r="11" spans="2:10" x14ac:dyDescent="0.3">
      <c r="C11" s="1" t="s">
        <v>31</v>
      </c>
      <c r="D11" s="5">
        <f>2*E4/D8</f>
        <v>0.68599434057003528</v>
      </c>
      <c r="F11" s="1" t="s">
        <v>36</v>
      </c>
      <c r="G11" s="7">
        <f>1/D11</f>
        <v>1.4577379737113252</v>
      </c>
    </row>
    <row r="12" spans="2:10" x14ac:dyDescent="0.3">
      <c r="C12" s="1" t="s">
        <v>5</v>
      </c>
      <c r="D12" s="5">
        <f>1/(D10-1/D11)</f>
        <v>-1.0601730717900546</v>
      </c>
      <c r="F12" s="1" t="s">
        <v>35</v>
      </c>
      <c r="G12" s="7">
        <f>1/(G11-D10)</f>
        <v>1.0601730717900546</v>
      </c>
    </row>
    <row r="13" spans="2:10" x14ac:dyDescent="0.3">
      <c r="C13" s="1" t="s">
        <v>30</v>
      </c>
      <c r="D13" s="5">
        <f>1/(D11*D10-1)</f>
        <v>-1.5454545454545452</v>
      </c>
      <c r="F13" s="1" t="s">
        <v>30</v>
      </c>
      <c r="G13" s="1">
        <f>G11^2-G11*D10</f>
        <v>1.375</v>
      </c>
    </row>
    <row r="15" spans="2:10" x14ac:dyDescent="0.3">
      <c r="C15" s="1" t="s">
        <v>0</v>
      </c>
      <c r="D15" s="11">
        <f>-D12/2+SQRT(D12^2/4-D13)</f>
        <v>1.8815473311058004</v>
      </c>
      <c r="G15" s="11">
        <f>G12*(0.5+SQRT(0.25+G13))</f>
        <v>1.8815473311058004</v>
      </c>
    </row>
    <row r="16" spans="2:10" x14ac:dyDescent="0.3">
      <c r="C16" s="1" t="s">
        <v>3</v>
      </c>
      <c r="D16" s="9">
        <f>D8/D15</f>
        <v>15.495097567963926</v>
      </c>
    </row>
    <row r="17" spans="3:8" x14ac:dyDescent="0.3">
      <c r="C17" s="1" t="s">
        <v>16</v>
      </c>
      <c r="D17" s="9">
        <f>SQRT(D8^2-D16^2)</f>
        <v>24.696193053976533</v>
      </c>
    </row>
    <row r="18" spans="3:8" x14ac:dyDescent="0.3">
      <c r="C18" s="1" t="s">
        <v>5</v>
      </c>
      <c r="D18" s="9">
        <f>D17^2/D16</f>
        <v>39.360962309798516</v>
      </c>
    </row>
    <row r="20" spans="3:8" x14ac:dyDescent="0.3">
      <c r="C20" s="1" t="s">
        <v>33</v>
      </c>
      <c r="D20" s="1" t="s">
        <v>18</v>
      </c>
      <c r="E20" s="1" t="s">
        <v>34</v>
      </c>
      <c r="F20" s="1" t="s">
        <v>1</v>
      </c>
      <c r="G20" s="1" t="s">
        <v>2</v>
      </c>
      <c r="H20" s="12" t="s">
        <v>37</v>
      </c>
    </row>
    <row r="21" spans="3:8" x14ac:dyDescent="0.3">
      <c r="C21" s="6">
        <v>0</v>
      </c>
      <c r="D21" s="7">
        <f>$D$18/(1+$D$15*COS(RADIANS(C21)))</f>
        <v>13.659661906262583</v>
      </c>
      <c r="E21" s="6">
        <f>C21+(90-$D$6)</f>
        <v>30.963756532073518</v>
      </c>
      <c r="F21" s="7">
        <f>$G$4-D21*COS(RADIANS(E21))</f>
        <v>38.286936547754706</v>
      </c>
      <c r="G21" s="7">
        <f>$H$4+D21*SIN(RADIANS(E21))</f>
        <v>-2.9721619286528265</v>
      </c>
      <c r="H21" s="7">
        <f>-G21</f>
        <v>2.9721619286528265</v>
      </c>
    </row>
    <row r="22" spans="3:8" x14ac:dyDescent="0.3">
      <c r="C22" s="6">
        <v>5</v>
      </c>
      <c r="D22" s="7">
        <f>$D$18/(1+$D$15*COS(RADIANS(C22)))</f>
        <v>13.693686966664252</v>
      </c>
      <c r="E22" s="6">
        <f t="shared" ref="E22:E34" si="0">C22+(90-$D$6)</f>
        <v>35.963756532073518</v>
      </c>
      <c r="F22" s="7">
        <f>$G$4-D22*COS(RADIANS(E22))</f>
        <v>38.916485239892587</v>
      </c>
      <c r="G22" s="7">
        <f>$H$4+D22*SIN(RADIANS(E22))</f>
        <v>-1.9580622171350086</v>
      </c>
      <c r="H22" s="7">
        <f t="shared" ref="H22:H40" si="1">-G22</f>
        <v>1.9580622171350086</v>
      </c>
    </row>
    <row r="23" spans="3:8" x14ac:dyDescent="0.3">
      <c r="C23" s="6">
        <v>10</v>
      </c>
      <c r="D23" s="7">
        <f t="shared" ref="D23:D38" si="2">$D$18/(1+$D$15*COS(RADIANS(C23)))</f>
        <v>13.796523332732599</v>
      </c>
      <c r="E23" s="6">
        <f t="shared" si="0"/>
        <v>40.963756532073518</v>
      </c>
      <c r="F23" s="7">
        <f t="shared" ref="F23:F33" si="3">$G$4-D23*COS(RADIANS(E23))</f>
        <v>39.581908167937094</v>
      </c>
      <c r="G23" s="7">
        <f t="shared" ref="G23:G33" si="4">$H$4+D23*SIN(RADIANS(E23))</f>
        <v>-0.95525463877842753</v>
      </c>
      <c r="H23" s="7">
        <f t="shared" si="1"/>
        <v>0.95525463877842753</v>
      </c>
    </row>
    <row r="24" spans="3:8" x14ac:dyDescent="0.3">
      <c r="C24" s="6">
        <v>15</v>
      </c>
      <c r="D24" s="7">
        <f t="shared" si="2"/>
        <v>13.970494463059167</v>
      </c>
      <c r="E24" s="6">
        <f t="shared" si="0"/>
        <v>45.963756532073518</v>
      </c>
      <c r="F24" s="7">
        <f t="shared" si="3"/>
        <v>40.28892401257383</v>
      </c>
      <c r="G24" s="7">
        <f t="shared" si="4"/>
        <v>4.3391793054858852E-2</v>
      </c>
      <c r="H24" s="7">
        <f t="shared" si="1"/>
        <v>-4.3391793054858852E-2</v>
      </c>
    </row>
    <row r="25" spans="3:8" x14ac:dyDescent="0.3">
      <c r="C25" s="6">
        <v>20</v>
      </c>
      <c r="D25" s="7">
        <f t="shared" si="2"/>
        <v>14.219609678587851</v>
      </c>
      <c r="E25" s="6">
        <f t="shared" si="0"/>
        <v>50.963756532073518</v>
      </c>
      <c r="F25" s="7">
        <f t="shared" si="3"/>
        <v>41.044321142081245</v>
      </c>
      <c r="G25" s="7">
        <f t="shared" si="4"/>
        <v>1.0450493708817898</v>
      </c>
      <c r="H25" s="7">
        <f t="shared" si="1"/>
        <v>-1.0450493708817898</v>
      </c>
    </row>
    <row r="26" spans="3:8" x14ac:dyDescent="0.3">
      <c r="C26" s="6">
        <v>25</v>
      </c>
      <c r="D26" s="7">
        <f t="shared" si="2"/>
        <v>14.549783677414675</v>
      </c>
      <c r="E26" s="6">
        <f t="shared" si="0"/>
        <v>55.963756532073518</v>
      </c>
      <c r="F26" s="7">
        <f t="shared" si="3"/>
        <v>41.856235614750929</v>
      </c>
      <c r="G26" s="7">
        <f t="shared" si="4"/>
        <v>2.0571682702495</v>
      </c>
      <c r="H26" s="7">
        <f t="shared" si="1"/>
        <v>-2.0571682702495</v>
      </c>
    </row>
    <row r="27" spans="3:8" x14ac:dyDescent="0.3">
      <c r="C27" s="6">
        <v>30</v>
      </c>
      <c r="D27" s="7">
        <f t="shared" si="2"/>
        <v>14.96917456148207</v>
      </c>
      <c r="E27" s="6">
        <f t="shared" si="0"/>
        <v>60.963756532073518</v>
      </c>
      <c r="F27" s="7">
        <f t="shared" si="3"/>
        <v>42.734519827737806</v>
      </c>
      <c r="G27" s="7">
        <f t="shared" si="4"/>
        <v>3.0877417807117098</v>
      </c>
      <c r="H27" s="7">
        <f t="shared" si="1"/>
        <v>-3.0877417807117098</v>
      </c>
    </row>
    <row r="28" spans="3:8" x14ac:dyDescent="0.3">
      <c r="C28" s="6">
        <v>35</v>
      </c>
      <c r="D28" s="7">
        <f t="shared" si="2"/>
        <v>15.488677132209244</v>
      </c>
      <c r="E28" s="6">
        <f t="shared" si="0"/>
        <v>65.963756532073518</v>
      </c>
      <c r="F28" s="7">
        <f t="shared" si="3"/>
        <v>43.6912381298201</v>
      </c>
      <c r="G28" s="7">
        <f t="shared" si="4"/>
        <v>4.1456227495004896</v>
      </c>
      <c r="H28" s="7">
        <f t="shared" si="1"/>
        <v>-4.1456227495004896</v>
      </c>
    </row>
    <row r="29" spans="3:8" x14ac:dyDescent="0.3">
      <c r="C29" s="6">
        <v>40</v>
      </c>
      <c r="D29" s="7">
        <f t="shared" si="2"/>
        <v>16.122629040535593</v>
      </c>
      <c r="E29" s="6">
        <f t="shared" si="0"/>
        <v>70.963756532073518</v>
      </c>
      <c r="F29" s="7">
        <f t="shared" si="3"/>
        <v>44.741343449690334</v>
      </c>
      <c r="G29" s="7">
        <f t="shared" si="4"/>
        <v>5.2409218377566287</v>
      </c>
      <c r="H29" s="7">
        <f t="shared" si="1"/>
        <v>-5.2409218377566287</v>
      </c>
    </row>
    <row r="30" spans="3:8" x14ac:dyDescent="0.3">
      <c r="C30" s="6">
        <v>45</v>
      </c>
      <c r="D30" s="7">
        <f t="shared" si="2"/>
        <v>16.889819536579115</v>
      </c>
      <c r="E30" s="6">
        <f t="shared" si="0"/>
        <v>75.963756532073518</v>
      </c>
      <c r="F30" s="7">
        <f t="shared" si="3"/>
        <v>45.903617061944914</v>
      </c>
      <c r="G30" s="7">
        <f t="shared" si="4"/>
        <v>6.3855317522203343</v>
      </c>
      <c r="H30" s="7">
        <f t="shared" si="1"/>
        <v>-6.3855317522203343</v>
      </c>
    </row>
    <row r="31" spans="3:8" x14ac:dyDescent="0.3">
      <c r="C31" s="6">
        <v>50</v>
      </c>
      <c r="D31" s="7">
        <f t="shared" si="2"/>
        <v>17.814942173412934</v>
      </c>
      <c r="E31" s="6">
        <f t="shared" si="0"/>
        <v>80.963756532073518</v>
      </c>
      <c r="F31" s="7">
        <f t="shared" si="3"/>
        <v>47.201999192122258</v>
      </c>
      <c r="G31" s="7">
        <f t="shared" si="4"/>
        <v>7.5938442678444282</v>
      </c>
      <c r="H31" s="7">
        <f t="shared" si="1"/>
        <v>-7.5938442678444282</v>
      </c>
    </row>
    <row r="32" spans="3:8" x14ac:dyDescent="0.3">
      <c r="C32" s="6">
        <v>55</v>
      </c>
      <c r="D32" s="7">
        <f t="shared" si="2"/>
        <v>18.930718564651361</v>
      </c>
      <c r="E32" s="6">
        <f t="shared" si="0"/>
        <v>85.963756532073518</v>
      </c>
      <c r="F32" s="7">
        <f t="shared" si="3"/>
        <v>48.667514298999109</v>
      </c>
      <c r="G32" s="7">
        <f t="shared" si="4"/>
        <v>8.883765176221182</v>
      </c>
      <c r="H32" s="7">
        <f t="shared" si="1"/>
        <v>-8.883765176221182</v>
      </c>
    </row>
    <row r="33" spans="3:8" x14ac:dyDescent="0.3">
      <c r="C33" s="6">
        <v>60</v>
      </c>
      <c r="D33" s="7">
        <f t="shared" si="2"/>
        <v>20.281067807350482</v>
      </c>
      <c r="E33" s="6">
        <f t="shared" si="0"/>
        <v>90.963756532073518</v>
      </c>
      <c r="F33" s="7">
        <f t="shared" si="3"/>
        <v>50.341126170926401</v>
      </c>
      <c r="G33" s="7">
        <f t="shared" si="4"/>
        <v>10.278198745003394</v>
      </c>
      <c r="H33" s="7">
        <f t="shared" si="1"/>
        <v>-10.278198745003394</v>
      </c>
    </row>
    <row r="34" spans="3:8" x14ac:dyDescent="0.3">
      <c r="C34" s="6">
        <v>65</v>
      </c>
      <c r="D34" s="7">
        <f t="shared" si="2"/>
        <v>21.925959658120139</v>
      </c>
      <c r="E34" s="6">
        <f t="shared" si="0"/>
        <v>95.963756532073518</v>
      </c>
      <c r="F34" s="7">
        <f>$G$4-D34*COS(RADIANS(E34))</f>
        <v>52.278092733435663</v>
      </c>
      <c r="G34" s="7">
        <f>$H$4+D34*SIN(RADIANS(E34))</f>
        <v>11.807292368090529</v>
      </c>
      <c r="H34" s="7">
        <f t="shared" si="1"/>
        <v>-11.807292368090529</v>
      </c>
    </row>
    <row r="35" spans="3:8" x14ac:dyDescent="0.3">
      <c r="C35" s="6">
        <v>70</v>
      </c>
      <c r="D35" s="7">
        <f t="shared" si="2"/>
        <v>23.949080365372886</v>
      </c>
      <c r="E35" s="6">
        <f t="shared" ref="E35:E38" si="5">C35+(90-$D$6)</f>
        <v>100.96375653207352</v>
      </c>
      <c r="F35" s="7">
        <f t="shared" ref="F35:F38" si="6">$G$4-D35*COS(RADIANS(E35))</f>
        <v>54.554827970697808</v>
      </c>
      <c r="G35" s="7">
        <f t="shared" ref="G35:G38" si="7">$H$4+D35*SIN(RADIANS(E35))</f>
        <v>13.511954246817467</v>
      </c>
      <c r="H35" s="7">
        <f t="shared" si="1"/>
        <v>-13.511954246817467</v>
      </c>
    </row>
    <row r="36" spans="3:8" x14ac:dyDescent="0.3">
      <c r="C36" s="6">
        <v>75</v>
      </c>
      <c r="D36" s="7">
        <f t="shared" si="2"/>
        <v>26.470399604610538</v>
      </c>
      <c r="E36" s="6">
        <f t="shared" si="5"/>
        <v>105.96375653207352</v>
      </c>
      <c r="F36" s="7">
        <f t="shared" si="6"/>
        <v>57.280133818741575</v>
      </c>
      <c r="G36" s="7">
        <f t="shared" si="7"/>
        <v>15.449591486092284</v>
      </c>
      <c r="H36" s="7">
        <f t="shared" si="1"/>
        <v>-15.449591486092284</v>
      </c>
    </row>
    <row r="37" spans="3:8" x14ac:dyDescent="0.3">
      <c r="C37" s="6">
        <v>80</v>
      </c>
      <c r="D37" s="7">
        <f t="shared" si="2"/>
        <v>29.667711926203989</v>
      </c>
      <c r="E37" s="6">
        <f t="shared" si="5"/>
        <v>110.96375653207352</v>
      </c>
      <c r="F37" s="7">
        <f t="shared" si="6"/>
        <v>60.614434609591896</v>
      </c>
      <c r="G37" s="7">
        <f t="shared" si="7"/>
        <v>17.70391504561989</v>
      </c>
      <c r="H37" s="7">
        <f t="shared" si="1"/>
        <v>-17.70391504561989</v>
      </c>
    </row>
    <row r="38" spans="3:8" x14ac:dyDescent="0.3">
      <c r="C38" s="6">
        <v>85</v>
      </c>
      <c r="D38" s="7">
        <f t="shared" si="2"/>
        <v>33.815618349041628</v>
      </c>
      <c r="E38" s="6">
        <f t="shared" si="5"/>
        <v>115.96375653207352</v>
      </c>
      <c r="F38" s="7">
        <f t="shared" si="6"/>
        <v>64.804562621058565</v>
      </c>
      <c r="G38" s="7">
        <f t="shared" si="7"/>
        <v>20.40264741642077</v>
      </c>
      <c r="H38" s="7">
        <f t="shared" si="1"/>
        <v>-20.40264741642077</v>
      </c>
    </row>
    <row r="39" spans="3:8" x14ac:dyDescent="0.3">
      <c r="C39" s="6">
        <v>90</v>
      </c>
      <c r="D39" s="7">
        <f t="shared" ref="D39:D45" si="8">$D$18/(1+$D$15*COS(RADIANS(C39)))</f>
        <v>39.360962309798509</v>
      </c>
      <c r="E39" s="6">
        <f t="shared" ref="E39:E45" si="9">C39+(90-$D$6)</f>
        <v>120.96375653207352</v>
      </c>
      <c r="F39" s="7">
        <f t="shared" ref="F39:F45" si="10">$G$4-D39*COS(RADIANS(E39))</f>
        <v>70.251048037934169</v>
      </c>
      <c r="G39" s="7">
        <f t="shared" ref="G39:G45" si="11">$H$4+D39*SIN(RADIANS(E39))</f>
        <v>23.751746729890307</v>
      </c>
      <c r="H39" s="7">
        <f t="shared" si="1"/>
        <v>-23.751746729890307</v>
      </c>
    </row>
    <row r="40" spans="3:8" x14ac:dyDescent="0.3">
      <c r="C40" s="6">
        <v>95</v>
      </c>
      <c r="D40" s="7">
        <f t="shared" si="8"/>
        <v>47.081795565123137</v>
      </c>
      <c r="E40" s="6">
        <f t="shared" si="9"/>
        <v>125.96375653207352</v>
      </c>
      <c r="F40" s="7">
        <f t="shared" si="10"/>
        <v>77.649885057400439</v>
      </c>
      <c r="G40" s="7">
        <f t="shared" si="11"/>
        <v>28.107470789185058</v>
      </c>
      <c r="H40" s="7">
        <f t="shared" si="1"/>
        <v>-28.107470789185058</v>
      </c>
    </row>
    <row r="41" spans="3:8" x14ac:dyDescent="0.3">
      <c r="C41" s="6">
        <v>100</v>
      </c>
      <c r="D41" s="7">
        <f t="shared" si="8"/>
        <v>58.462136185960986</v>
      </c>
      <c r="E41" s="6">
        <f t="shared" si="9"/>
        <v>130.96375653207352</v>
      </c>
      <c r="F41" s="7">
        <f t="shared" si="10"/>
        <v>88.326694510097497</v>
      </c>
      <c r="G41" s="7">
        <f t="shared" si="11"/>
        <v>34.146187325243744</v>
      </c>
    </row>
    <row r="42" spans="3:8" x14ac:dyDescent="0.3">
      <c r="C42" s="6">
        <v>105</v>
      </c>
      <c r="D42" s="7">
        <f t="shared" si="8"/>
        <v>76.724073262373636</v>
      </c>
      <c r="E42" s="6">
        <f t="shared" si="9"/>
        <v>135.96375653207352</v>
      </c>
      <c r="F42" s="7">
        <f t="shared" si="10"/>
        <v>105.15695452087304</v>
      </c>
      <c r="G42" s="7">
        <f t="shared" si="11"/>
        <v>43.331920891267551</v>
      </c>
    </row>
    <row r="43" spans="3:8" x14ac:dyDescent="0.3">
      <c r="C43" s="6">
        <v>110</v>
      </c>
      <c r="D43" s="7">
        <f t="shared" si="8"/>
        <v>110.4178212963666</v>
      </c>
      <c r="E43" s="6">
        <f t="shared" si="9"/>
        <v>140.96375653207352</v>
      </c>
      <c r="F43" s="7">
        <f t="shared" si="10"/>
        <v>135.7667907354745</v>
      </c>
      <c r="G43" s="7">
        <f t="shared" si="11"/>
        <v>59.542453701129048</v>
      </c>
    </row>
    <row r="44" spans="3:8" x14ac:dyDescent="0.3">
      <c r="C44" s="6">
        <v>115</v>
      </c>
      <c r="D44" s="7">
        <f t="shared" si="8"/>
        <v>192.16992513433479</v>
      </c>
      <c r="E44" s="6">
        <f t="shared" si="9"/>
        <v>145.96375653207352</v>
      </c>
      <c r="F44" s="7">
        <f t="shared" si="10"/>
        <v>209.24808060360323</v>
      </c>
      <c r="G44" s="7">
        <f t="shared" si="11"/>
        <v>97.560815124301314</v>
      </c>
    </row>
    <row r="45" spans="3:8" x14ac:dyDescent="0.3">
      <c r="C45" s="6">
        <v>120</v>
      </c>
      <c r="D45" s="7">
        <f t="shared" si="8"/>
        <v>664.58548679818989</v>
      </c>
      <c r="E45" s="6">
        <f t="shared" si="9"/>
        <v>150.96375653207352</v>
      </c>
      <c r="F45" s="7">
        <f t="shared" si="10"/>
        <v>631.05563581337083</v>
      </c>
      <c r="G45" s="7">
        <f t="shared" si="11"/>
        <v>312.56505910018592</v>
      </c>
    </row>
    <row r="46" spans="3:8" x14ac:dyDescent="0.3">
      <c r="C46" s="6"/>
      <c r="D46" s="7"/>
      <c r="E46" s="6"/>
      <c r="F46" s="7"/>
      <c r="G46" s="7"/>
    </row>
    <row r="47" spans="3:8" x14ac:dyDescent="0.3">
      <c r="C47" s="6"/>
      <c r="D47" s="7"/>
      <c r="E47" s="6"/>
      <c r="F47" s="7"/>
      <c r="G47" s="7"/>
    </row>
    <row r="48" spans="3:8" x14ac:dyDescent="0.3">
      <c r="C48" s="6"/>
      <c r="D48" s="7"/>
      <c r="E48" s="6"/>
      <c r="F48" s="7"/>
      <c r="G48" s="7"/>
    </row>
    <row r="49" spans="3:7" x14ac:dyDescent="0.3">
      <c r="C49" s="6"/>
      <c r="D49" s="7"/>
      <c r="E49" s="6"/>
      <c r="F49" s="7"/>
      <c r="G49" s="7"/>
    </row>
    <row r="50" spans="3:7" x14ac:dyDescent="0.3">
      <c r="C50" s="6"/>
      <c r="D50" s="7"/>
      <c r="E50" s="6"/>
      <c r="F50" s="7"/>
      <c r="G50" s="7"/>
    </row>
    <row r="51" spans="3:7" x14ac:dyDescent="0.3">
      <c r="C51" s="6"/>
      <c r="D51" s="7"/>
      <c r="E51" s="6"/>
      <c r="F51" s="7"/>
      <c r="G51" s="7"/>
    </row>
    <row r="52" spans="3:7" x14ac:dyDescent="0.3">
      <c r="C52" s="6"/>
      <c r="D52" s="7"/>
      <c r="E52" s="6"/>
      <c r="F52" s="7"/>
      <c r="G52" s="7"/>
    </row>
    <row r="53" spans="3:7" x14ac:dyDescent="0.3">
      <c r="C53" s="6"/>
      <c r="D53" s="7"/>
      <c r="E53" s="6"/>
      <c r="F53" s="7"/>
      <c r="G53" s="7"/>
    </row>
    <row r="54" spans="3:7" x14ac:dyDescent="0.3">
      <c r="C54" s="6"/>
      <c r="D54" s="7"/>
      <c r="E54" s="6"/>
      <c r="F54" s="7"/>
      <c r="G54" s="7"/>
    </row>
  </sheetData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F5C40-4AB6-4261-A998-C79CE57C6E12}">
  <dimension ref="B2:J54"/>
  <sheetViews>
    <sheetView tabSelected="1" zoomScale="85" zoomScaleNormal="85" workbookViewId="0">
      <selection activeCell="M40" sqref="M40"/>
    </sheetView>
  </sheetViews>
  <sheetFormatPr defaultColWidth="11.109375" defaultRowHeight="14.4" x14ac:dyDescent="0.3"/>
  <cols>
    <col min="1" max="3" width="11.109375" style="1"/>
    <col min="4" max="4" width="13.109375" style="1" customWidth="1"/>
    <col min="5" max="16384" width="11.109375" style="1"/>
  </cols>
  <sheetData>
    <row r="2" spans="2:10" x14ac:dyDescent="0.3">
      <c r="D2" s="1" t="s">
        <v>1</v>
      </c>
      <c r="E2" s="1" t="s">
        <v>2</v>
      </c>
      <c r="G2" s="1" t="s">
        <v>1</v>
      </c>
      <c r="H2" s="1" t="s">
        <v>2</v>
      </c>
      <c r="I2" s="1" t="s">
        <v>1</v>
      </c>
      <c r="J2" s="1" t="s">
        <v>2</v>
      </c>
    </row>
    <row r="3" spans="2:10" x14ac:dyDescent="0.3">
      <c r="B3" s="1" t="s">
        <v>23</v>
      </c>
      <c r="C3" s="1" t="s">
        <v>20</v>
      </c>
      <c r="D3" s="1">
        <v>0</v>
      </c>
      <c r="E3" s="3">
        <v>2</v>
      </c>
      <c r="G3" s="1">
        <f>D3</f>
        <v>0</v>
      </c>
      <c r="H3" s="1">
        <f>-E3</f>
        <v>-2</v>
      </c>
      <c r="I3" s="1">
        <f>G3</f>
        <v>0</v>
      </c>
      <c r="J3" s="1">
        <f>E3</f>
        <v>2</v>
      </c>
    </row>
    <row r="4" spans="2:10" x14ac:dyDescent="0.3">
      <c r="B4" s="1" t="s">
        <v>22</v>
      </c>
      <c r="C4" s="1" t="s">
        <v>21</v>
      </c>
      <c r="D4" s="3">
        <v>4</v>
      </c>
      <c r="E4" s="3">
        <v>1</v>
      </c>
      <c r="G4" s="1">
        <f>D4</f>
        <v>4</v>
      </c>
      <c r="H4" s="1">
        <f>-E4</f>
        <v>-1</v>
      </c>
      <c r="I4" s="1">
        <f>G4</f>
        <v>4</v>
      </c>
      <c r="J4" s="1">
        <f>E4</f>
        <v>1</v>
      </c>
    </row>
    <row r="5" spans="2:10" x14ac:dyDescent="0.3">
      <c r="F5" s="1" t="s">
        <v>26</v>
      </c>
      <c r="G5" s="1">
        <f>G3</f>
        <v>0</v>
      </c>
      <c r="H5" s="1">
        <v>0</v>
      </c>
      <c r="I5" s="1">
        <f>I4</f>
        <v>4</v>
      </c>
      <c r="J5" s="1">
        <v>0</v>
      </c>
    </row>
    <row r="6" spans="2:10" x14ac:dyDescent="0.3">
      <c r="C6" s="1" t="s">
        <v>25</v>
      </c>
      <c r="D6" s="10">
        <f>DEGREES(ATAN(D4/(E3+E4)))</f>
        <v>53.13010235415598</v>
      </c>
      <c r="F6" s="1" t="s">
        <v>27</v>
      </c>
      <c r="G6" s="1">
        <f>I3</f>
        <v>0</v>
      </c>
      <c r="H6" s="1">
        <f>J3</f>
        <v>2</v>
      </c>
      <c r="I6" s="1">
        <f>G4</f>
        <v>4</v>
      </c>
      <c r="J6" s="1">
        <f>H4</f>
        <v>-1</v>
      </c>
    </row>
    <row r="7" spans="2:10" x14ac:dyDescent="0.3">
      <c r="C7" s="1" t="s">
        <v>28</v>
      </c>
      <c r="D7" s="9">
        <f>(E4+E3)/COS(RADIANS(D6))</f>
        <v>4.9999999999999991</v>
      </c>
    </row>
    <row r="8" spans="2:10" x14ac:dyDescent="0.3">
      <c r="C8" s="1" t="s">
        <v>9</v>
      </c>
      <c r="D8" s="9">
        <f>D7/2</f>
        <v>2.4999999999999996</v>
      </c>
      <c r="F8" s="1" t="s">
        <v>24</v>
      </c>
      <c r="G8" s="1">
        <f>D4/2</f>
        <v>2</v>
      </c>
      <c r="H8" s="1">
        <f>E3-(E3+E4)/2</f>
        <v>0.5</v>
      </c>
    </row>
    <row r="9" spans="2:10" x14ac:dyDescent="0.3">
      <c r="C9" s="1" t="s">
        <v>29</v>
      </c>
    </row>
    <row r="10" spans="2:10" x14ac:dyDescent="0.3">
      <c r="C10" s="1" t="s">
        <v>32</v>
      </c>
      <c r="D10" s="5">
        <f>COS(RADIANS(D6))</f>
        <v>0.60000000000000009</v>
      </c>
    </row>
    <row r="11" spans="2:10" x14ac:dyDescent="0.3">
      <c r="C11" s="1" t="s">
        <v>31</v>
      </c>
      <c r="D11" s="5">
        <f>2*E4/D8</f>
        <v>0.80000000000000016</v>
      </c>
      <c r="F11" s="1" t="s">
        <v>36</v>
      </c>
      <c r="G11" s="7">
        <f>1/D11</f>
        <v>1.2499999999999998</v>
      </c>
    </row>
    <row r="12" spans="2:10" x14ac:dyDescent="0.3">
      <c r="C12" s="1" t="s">
        <v>5</v>
      </c>
      <c r="D12" s="5">
        <f>1/(D10-1/D11)</f>
        <v>-1.5384615384615392</v>
      </c>
      <c r="F12" s="1" t="s">
        <v>35</v>
      </c>
      <c r="G12" s="7">
        <f>1/(G11-D10)</f>
        <v>1.5384615384615392</v>
      </c>
    </row>
    <row r="13" spans="2:10" x14ac:dyDescent="0.3">
      <c r="C13" s="1" t="s">
        <v>30</v>
      </c>
      <c r="D13" s="5">
        <f>1/(D11*D10-1)</f>
        <v>-1.9230769230769238</v>
      </c>
      <c r="F13" s="1" t="s">
        <v>30</v>
      </c>
      <c r="G13" s="1">
        <f>G11^2-G11*D10</f>
        <v>0.81249999999999956</v>
      </c>
    </row>
    <row r="15" spans="2:10" x14ac:dyDescent="0.3">
      <c r="C15" s="1" t="s">
        <v>0</v>
      </c>
      <c r="D15" s="11">
        <f>-D12/2+SQRT(D12^2/4-D13)</f>
        <v>2.3550406252375629</v>
      </c>
      <c r="G15" s="11">
        <f>G12*(0.5+SQRT(0.25+G13))</f>
        <v>2.3550406252375624</v>
      </c>
    </row>
    <row r="16" spans="2:10" x14ac:dyDescent="0.3">
      <c r="C16" s="1" t="s">
        <v>3</v>
      </c>
      <c r="D16" s="9">
        <f>D8/D15</f>
        <v>1.0615528128088296</v>
      </c>
    </row>
    <row r="17" spans="3:8" x14ac:dyDescent="0.3">
      <c r="C17" s="1" t="s">
        <v>16</v>
      </c>
      <c r="D17" s="9">
        <f>SQRT(D8^2-D16^2)</f>
        <v>2.2634278485557386</v>
      </c>
    </row>
    <row r="18" spans="3:8" x14ac:dyDescent="0.3">
      <c r="C18" s="1" t="s">
        <v>5</v>
      </c>
      <c r="D18" s="9">
        <f>D17^2/D16</f>
        <v>4.826048750285076</v>
      </c>
    </row>
    <row r="20" spans="3:8" x14ac:dyDescent="0.3">
      <c r="C20" s="1" t="s">
        <v>33</v>
      </c>
      <c r="D20" s="1" t="s">
        <v>18</v>
      </c>
      <c r="E20" s="1" t="s">
        <v>34</v>
      </c>
      <c r="F20" s="1" t="s">
        <v>1</v>
      </c>
      <c r="G20" s="1" t="s">
        <v>2</v>
      </c>
      <c r="H20" s="12" t="s">
        <v>37</v>
      </c>
    </row>
    <row r="21" spans="3:8" x14ac:dyDescent="0.3">
      <c r="C21" s="6">
        <v>0</v>
      </c>
      <c r="D21" s="7">
        <f>$D$18/(1+$D$15*COS(RADIANS(C21)))</f>
        <v>1.4384471871911697</v>
      </c>
      <c r="E21" s="6">
        <f>C21+(90-$D$6)</f>
        <v>36.86989764584402</v>
      </c>
      <c r="F21" s="7">
        <f>$G$4-D21*COS(RADIANS(E21))</f>
        <v>2.8492422502470642</v>
      </c>
      <c r="G21" s="7">
        <f>$H$4+D21*SIN(RADIANS(E21))</f>
        <v>-0.13693168768529818</v>
      </c>
      <c r="H21" s="7">
        <f>-G21</f>
        <v>0.13693168768529818</v>
      </c>
    </row>
    <row r="22" spans="3:8" x14ac:dyDescent="0.3">
      <c r="C22" s="6">
        <v>5</v>
      </c>
      <c r="D22" s="7">
        <f>$D$18/(1+$D$15*COS(RADIANS(C22)))</f>
        <v>1.4422997103239392</v>
      </c>
      <c r="E22" s="6">
        <f t="shared" ref="E22:E45" si="0">C22+(90-$D$6)</f>
        <v>41.86989764584402</v>
      </c>
      <c r="F22" s="7">
        <f>$G$4-D22*COS(RADIANS(E22))</f>
        <v>2.9259737619236343</v>
      </c>
      <c r="G22" s="7">
        <f>$H$4+D22*SIN(RADIANS(E22))</f>
        <v>-3.734944329520673E-2</v>
      </c>
      <c r="H22" s="7">
        <f t="shared" ref="H22:H41" si="1">-G22</f>
        <v>3.734944329520673E-2</v>
      </c>
    </row>
    <row r="23" spans="3:8" x14ac:dyDescent="0.3">
      <c r="C23" s="6">
        <v>10</v>
      </c>
      <c r="D23" s="7">
        <f t="shared" ref="D23:D45" si="2">$D$18/(1+$D$15*COS(RADIANS(C23)))</f>
        <v>1.4539522228021957</v>
      </c>
      <c r="E23" s="6">
        <f t="shared" si="0"/>
        <v>46.86989764584402</v>
      </c>
      <c r="F23" s="7">
        <f t="shared" ref="F23:F33" si="3">$G$4-D23*COS(RADIANS(E23))</f>
        <v>3.0059949551226817</v>
      </c>
      <c r="G23" s="7">
        <f t="shared" ref="G23:G33" si="4">$H$4+D23*SIN(RADIANS(E23))</f>
        <v>6.1098976038468589E-2</v>
      </c>
      <c r="H23" s="7">
        <f t="shared" si="1"/>
        <v>-6.1098976038468589E-2</v>
      </c>
    </row>
    <row r="24" spans="3:8" x14ac:dyDescent="0.3">
      <c r="C24" s="6">
        <v>15</v>
      </c>
      <c r="D24" s="7">
        <f t="shared" si="2"/>
        <v>1.4736951155553015</v>
      </c>
      <c r="E24" s="6">
        <f t="shared" si="0"/>
        <v>51.86989764584402</v>
      </c>
      <c r="F24" s="7">
        <f t="shared" si="3"/>
        <v>3.0900680797954285</v>
      </c>
      <c r="G24" s="7">
        <f t="shared" si="4"/>
        <v>0.15922439337876892</v>
      </c>
      <c r="H24" s="7">
        <f t="shared" si="1"/>
        <v>-0.15922439337876892</v>
      </c>
    </row>
    <row r="25" spans="3:8" x14ac:dyDescent="0.3">
      <c r="C25" s="6">
        <v>20</v>
      </c>
      <c r="D25" s="7">
        <f t="shared" si="2"/>
        <v>1.5020315205290673</v>
      </c>
      <c r="E25" s="6">
        <f t="shared" si="0"/>
        <v>56.86989764584402</v>
      </c>
      <c r="F25" s="7">
        <f t="shared" si="3"/>
        <v>3.1790766727354125</v>
      </c>
      <c r="G25" s="7">
        <f t="shared" si="4"/>
        <v>0.25784879036222019</v>
      </c>
      <c r="H25" s="7">
        <f t="shared" si="1"/>
        <v>-0.25784879036222019</v>
      </c>
    </row>
    <row r="26" spans="3:8" x14ac:dyDescent="0.3">
      <c r="C26" s="6">
        <v>25</v>
      </c>
      <c r="D26" s="7">
        <f t="shared" si="2"/>
        <v>1.5397082680554397</v>
      </c>
      <c r="E26" s="6">
        <f t="shared" si="0"/>
        <v>61.86989764584402</v>
      </c>
      <c r="F26" s="7">
        <f t="shared" si="3"/>
        <v>3.2740656246173367</v>
      </c>
      <c r="G26" s="7">
        <f t="shared" si="4"/>
        <v>0.35783682132871353</v>
      </c>
      <c r="H26" s="7">
        <f t="shared" si="1"/>
        <v>-0.35783682132871353</v>
      </c>
    </row>
    <row r="27" spans="3:8" x14ac:dyDescent="0.3">
      <c r="C27" s="6">
        <v>30</v>
      </c>
      <c r="D27" s="7">
        <f t="shared" si="2"/>
        <v>1.5877641200344366</v>
      </c>
      <c r="E27" s="6">
        <f t="shared" si="0"/>
        <v>66.86989764584402</v>
      </c>
      <c r="F27" s="7">
        <f t="shared" si="3"/>
        <v>3.3762939854765173</v>
      </c>
      <c r="G27" s="7">
        <f t="shared" si="4"/>
        <v>0.46013208591413468</v>
      </c>
      <c r="H27" s="7">
        <f t="shared" si="1"/>
        <v>-0.46013208591413468</v>
      </c>
    </row>
    <row r="28" spans="3:8" x14ac:dyDescent="0.3">
      <c r="C28" s="6">
        <v>35</v>
      </c>
      <c r="D28" s="7">
        <f t="shared" si="2"/>
        <v>1.6476012673717595</v>
      </c>
      <c r="E28" s="6">
        <f t="shared" si="0"/>
        <v>71.86989764584402</v>
      </c>
      <c r="F28" s="7">
        <f t="shared" si="3"/>
        <v>3.487306401007368</v>
      </c>
      <c r="G28" s="7">
        <f t="shared" si="4"/>
        <v>0.565801778577675</v>
      </c>
      <c r="H28" s="7">
        <f t="shared" si="1"/>
        <v>-0.565801778577675</v>
      </c>
    </row>
    <row r="29" spans="3:8" x14ac:dyDescent="0.3">
      <c r="C29" s="6">
        <v>40</v>
      </c>
      <c r="D29" s="7">
        <f t="shared" si="2"/>
        <v>1.7210897038635813</v>
      </c>
      <c r="E29" s="6">
        <f t="shared" si="0"/>
        <v>76.86989764584402</v>
      </c>
      <c r="F29" s="7">
        <f t="shared" si="3"/>
        <v>3.6090321190783641</v>
      </c>
      <c r="G29" s="7">
        <f t="shared" si="4"/>
        <v>0.67609483169445861</v>
      </c>
      <c r="H29" s="7">
        <f t="shared" si="1"/>
        <v>-0.67609483169445861</v>
      </c>
    </row>
    <row r="30" spans="3:8" x14ac:dyDescent="0.3">
      <c r="C30" s="6">
        <v>45</v>
      </c>
      <c r="D30" s="7">
        <f t="shared" si="2"/>
        <v>1.8107199078694425</v>
      </c>
      <c r="E30" s="6">
        <f t="shared" si="0"/>
        <v>81.86989764584402</v>
      </c>
      <c r="F30" s="7">
        <f t="shared" si="3"/>
        <v>3.743925534863207</v>
      </c>
      <c r="G30" s="7">
        <f t="shared" si="4"/>
        <v>0.79252125595754852</v>
      </c>
      <c r="H30" s="7">
        <f t="shared" si="1"/>
        <v>-0.79252125595754852</v>
      </c>
    </row>
    <row r="31" spans="3:8" x14ac:dyDescent="0.3">
      <c r="C31" s="6">
        <v>50</v>
      </c>
      <c r="D31" s="7">
        <f t="shared" si="2"/>
        <v>1.9198290059071841</v>
      </c>
      <c r="E31" s="6">
        <f t="shared" si="0"/>
        <v>86.86989764584402</v>
      </c>
      <c r="F31" s="7">
        <f t="shared" si="3"/>
        <v>3.8951707668571269</v>
      </c>
      <c r="G31" s="7">
        <f t="shared" si="4"/>
        <v>0.91696485199944222</v>
      </c>
      <c r="H31" s="7">
        <f t="shared" si="1"/>
        <v>-0.91696485199944222</v>
      </c>
    </row>
    <row r="32" spans="3:8" x14ac:dyDescent="0.3">
      <c r="C32" s="6">
        <v>55</v>
      </c>
      <c r="D32" s="7">
        <f t="shared" si="2"/>
        <v>2.0529425529950602</v>
      </c>
      <c r="E32" s="6">
        <f t="shared" si="0"/>
        <v>91.86989764584402</v>
      </c>
      <c r="F32" s="7">
        <f t="shared" si="3"/>
        <v>4.0669876745919984</v>
      </c>
      <c r="G32" s="7">
        <f t="shared" si="4"/>
        <v>1.0518493554232076</v>
      </c>
      <c r="H32" s="7">
        <f t="shared" si="1"/>
        <v>-1.0518493554232076</v>
      </c>
    </row>
    <row r="33" spans="3:8" x14ac:dyDescent="0.3">
      <c r="C33" s="6">
        <v>60</v>
      </c>
      <c r="D33" s="7">
        <f t="shared" si="2"/>
        <v>2.2163048134697108</v>
      </c>
      <c r="E33" s="6">
        <f t="shared" si="0"/>
        <v>96.86989764584402</v>
      </c>
      <c r="F33" s="7">
        <f t="shared" si="3"/>
        <v>4.2651038372088168</v>
      </c>
      <c r="G33" s="7">
        <f t="shared" si="4"/>
        <v>1.2003924608365142</v>
      </c>
      <c r="H33" s="7">
        <f t="shared" si="1"/>
        <v>-1.2003924608365142</v>
      </c>
    </row>
    <row r="34" spans="3:8" x14ac:dyDescent="0.3">
      <c r="C34" s="6">
        <v>65</v>
      </c>
      <c r="D34" s="7">
        <f t="shared" si="2"/>
        <v>2.4187287347813675</v>
      </c>
      <c r="E34" s="6">
        <f t="shared" si="0"/>
        <v>101.86989764584402</v>
      </c>
      <c r="F34" s="7">
        <f>$G$4-D34*COS(RADIANS(E34))</f>
        <v>4.4975084654245281</v>
      </c>
      <c r="G34" s="7">
        <f>$H$4+D34*SIN(RADIANS(E34))</f>
        <v>1.3670095097586756</v>
      </c>
      <c r="H34" s="7">
        <f t="shared" si="1"/>
        <v>-1.3670095097586756</v>
      </c>
    </row>
    <row r="35" spans="3:8" x14ac:dyDescent="0.3">
      <c r="C35" s="6">
        <v>70</v>
      </c>
      <c r="D35" s="7">
        <f t="shared" si="2"/>
        <v>2.6730132261107871</v>
      </c>
      <c r="E35" s="6">
        <f t="shared" si="0"/>
        <v>106.86989764584402</v>
      </c>
      <c r="F35" s="7">
        <f t="shared" ref="F35:F45" si="5">$G$4-D35*COS(RADIANS(E35))</f>
        <v>4.7757069889390094</v>
      </c>
      <c r="G35" s="7">
        <f t="shared" ref="G35:G45" si="6">$H$4+D35*SIN(RADIANS(E35))</f>
        <v>1.557983263095045</v>
      </c>
      <c r="H35" s="7">
        <f t="shared" si="1"/>
        <v>-1.557983263095045</v>
      </c>
    </row>
    <row r="36" spans="3:8" x14ac:dyDescent="0.3">
      <c r="C36" s="6">
        <v>75</v>
      </c>
      <c r="D36" s="7">
        <f t="shared" si="2"/>
        <v>2.998422304573146</v>
      </c>
      <c r="E36" s="6">
        <f t="shared" si="0"/>
        <v>111.86989764584402</v>
      </c>
      <c r="F36" s="7">
        <f t="shared" si="5"/>
        <v>5.1169130871180553</v>
      </c>
      <c r="G36" s="7">
        <f t="shared" si="6"/>
        <v>1.7826321122969437</v>
      </c>
      <c r="H36" s="7">
        <f t="shared" si="1"/>
        <v>-1.7826321122969437</v>
      </c>
    </row>
    <row r="37" spans="3:8" x14ac:dyDescent="0.3">
      <c r="C37" s="6">
        <v>80</v>
      </c>
      <c r="D37" s="7">
        <f t="shared" si="2"/>
        <v>3.425283966081726</v>
      </c>
      <c r="E37" s="6">
        <f t="shared" si="0"/>
        <v>116.86989764584402</v>
      </c>
      <c r="F37" s="7">
        <f t="shared" si="5"/>
        <v>5.5481122686779356</v>
      </c>
      <c r="G37" s="7">
        <f t="shared" si="6"/>
        <v>2.0554735560736597</v>
      </c>
      <c r="H37" s="7">
        <f t="shared" si="1"/>
        <v>-2.0554735560736597</v>
      </c>
    </row>
    <row r="38" spans="3:8" x14ac:dyDescent="0.3">
      <c r="C38" s="6">
        <v>85</v>
      </c>
      <c r="D38" s="7">
        <f t="shared" si="2"/>
        <v>4.0041713076465992</v>
      </c>
      <c r="E38" s="6">
        <f t="shared" si="0"/>
        <v>121.86989764584402</v>
      </c>
      <c r="F38" s="7">
        <f t="shared" si="5"/>
        <v>6.1141713166317393</v>
      </c>
      <c r="G38" s="7">
        <f t="shared" si="6"/>
        <v>2.4005392961869876</v>
      </c>
      <c r="H38" s="7">
        <f t="shared" si="1"/>
        <v>-2.4005392961869876</v>
      </c>
    </row>
    <row r="39" spans="3:8" x14ac:dyDescent="0.3">
      <c r="C39" s="6">
        <v>90</v>
      </c>
      <c r="D39" s="7">
        <f t="shared" si="2"/>
        <v>4.8260487502850751</v>
      </c>
      <c r="E39" s="6">
        <f t="shared" si="0"/>
        <v>126.86989764584402</v>
      </c>
      <c r="F39" s="7">
        <f t="shared" si="5"/>
        <v>6.8956292501710443</v>
      </c>
      <c r="G39" s="7">
        <f t="shared" si="6"/>
        <v>2.8608390002280606</v>
      </c>
      <c r="H39" s="7">
        <f t="shared" si="1"/>
        <v>-2.8608390002280606</v>
      </c>
    </row>
    <row r="40" spans="3:8" x14ac:dyDescent="0.3">
      <c r="C40" s="6">
        <v>95</v>
      </c>
      <c r="D40" s="7">
        <f t="shared" si="2"/>
        <v>6.0724517454788574</v>
      </c>
      <c r="E40" s="6">
        <f t="shared" si="0"/>
        <v>131.86989764584402</v>
      </c>
      <c r="F40" s="7">
        <f t="shared" si="5"/>
        <v>8.0530057736996206</v>
      </c>
      <c r="G40" s="7">
        <f t="shared" si="6"/>
        <v>3.5219259613052882</v>
      </c>
      <c r="H40" s="7">
        <f t="shared" si="1"/>
        <v>-3.5219259613052882</v>
      </c>
    </row>
    <row r="41" spans="3:8" x14ac:dyDescent="0.3">
      <c r="C41" s="6">
        <v>100</v>
      </c>
      <c r="D41" s="7">
        <f t="shared" si="2"/>
        <v>8.1651917906467606</v>
      </c>
      <c r="E41" s="6">
        <f t="shared" si="0"/>
        <v>136.86989764584402</v>
      </c>
      <c r="F41" s="7">
        <f t="shared" si="5"/>
        <v>9.9589830479537707</v>
      </c>
      <c r="G41" s="7">
        <f t="shared" si="6"/>
        <v>4.5821929393603771</v>
      </c>
      <c r="H41" s="7">
        <f t="shared" si="1"/>
        <v>-4.5821929393603771</v>
      </c>
    </row>
    <row r="42" spans="3:8" x14ac:dyDescent="0.3">
      <c r="C42" s="6">
        <v>105</v>
      </c>
      <c r="D42" s="7">
        <f t="shared" si="2"/>
        <v>12.359569011362078</v>
      </c>
      <c r="E42" s="6">
        <f t="shared" si="0"/>
        <v>141.86989764584402</v>
      </c>
      <c r="F42" s="7">
        <f t="shared" si="5"/>
        <v>13.722169625445559</v>
      </c>
      <c r="G42" s="7">
        <f t="shared" si="6"/>
        <v>6.6314064182616788</v>
      </c>
    </row>
    <row r="43" spans="3:8" x14ac:dyDescent="0.3">
      <c r="C43" s="6">
        <v>110</v>
      </c>
      <c r="D43" s="7">
        <f t="shared" si="2"/>
        <v>24.808933327958041</v>
      </c>
      <c r="E43" s="6">
        <f t="shared" si="0"/>
        <v>146.86989764584402</v>
      </c>
      <c r="F43" s="7">
        <f t="shared" si="5"/>
        <v>24.775786892779188</v>
      </c>
      <c r="G43" s="7">
        <f t="shared" si="6"/>
        <v>12.559124302730311</v>
      </c>
    </row>
    <row r="44" spans="3:8" x14ac:dyDescent="0.3">
      <c r="C44" s="6">
        <v>115</v>
      </c>
      <c r="D44" s="7">
        <f t="shared" si="2"/>
        <v>1023.1562810584262</v>
      </c>
      <c r="E44" s="6">
        <f t="shared" si="0"/>
        <v>151.86989764584402</v>
      </c>
      <c r="F44" s="7">
        <f t="shared" si="5"/>
        <v>906.30032611921888</v>
      </c>
      <c r="G44" s="7">
        <f t="shared" si="6"/>
        <v>481.39288650897458</v>
      </c>
    </row>
    <row r="45" spans="3:8" x14ac:dyDescent="0.3">
      <c r="C45" s="6">
        <v>120</v>
      </c>
      <c r="D45" s="7">
        <f t="shared" si="2"/>
        <v>-27.185895963628997</v>
      </c>
      <c r="E45" s="6">
        <f t="shared" si="0"/>
        <v>156.86989764584402</v>
      </c>
      <c r="F45" s="7">
        <f t="shared" si="5"/>
        <v>-21.000564302937725</v>
      </c>
      <c r="G45" s="7">
        <f t="shared" si="6"/>
        <v>-11.679172434226134</v>
      </c>
    </row>
    <row r="46" spans="3:8" x14ac:dyDescent="0.3">
      <c r="C46" s="6"/>
      <c r="D46" s="7"/>
      <c r="E46" s="6"/>
      <c r="F46" s="7"/>
      <c r="G46" s="7"/>
    </row>
    <row r="47" spans="3:8" x14ac:dyDescent="0.3">
      <c r="C47" s="6"/>
      <c r="D47" s="7"/>
      <c r="E47" s="6"/>
      <c r="F47" s="7"/>
      <c r="G47" s="7"/>
    </row>
    <row r="48" spans="3:8" x14ac:dyDescent="0.3">
      <c r="C48" s="6"/>
      <c r="D48" s="7"/>
      <c r="E48" s="6"/>
      <c r="F48" s="7"/>
      <c r="G48" s="7"/>
    </row>
    <row r="49" spans="3:7" x14ac:dyDescent="0.3">
      <c r="C49" s="6"/>
      <c r="D49" s="7"/>
      <c r="E49" s="6"/>
      <c r="F49" s="7"/>
      <c r="G49" s="7"/>
    </row>
    <row r="50" spans="3:7" x14ac:dyDescent="0.3">
      <c r="C50" s="6"/>
      <c r="D50" s="7"/>
      <c r="E50" s="6"/>
      <c r="F50" s="7"/>
      <c r="G50" s="7"/>
    </row>
    <row r="51" spans="3:7" x14ac:dyDescent="0.3">
      <c r="C51" s="6"/>
      <c r="D51" s="7"/>
      <c r="E51" s="6"/>
      <c r="F51" s="7"/>
      <c r="G51" s="7"/>
    </row>
    <row r="52" spans="3:7" x14ac:dyDescent="0.3">
      <c r="C52" s="6"/>
      <c r="D52" s="7"/>
      <c r="E52" s="6"/>
      <c r="F52" s="7"/>
      <c r="G52" s="7"/>
    </row>
    <row r="53" spans="3:7" x14ac:dyDescent="0.3">
      <c r="C53" s="6"/>
      <c r="D53" s="7"/>
      <c r="E53" s="6"/>
      <c r="F53" s="7"/>
      <c r="G53" s="7"/>
    </row>
    <row r="54" spans="3:7" x14ac:dyDescent="0.3">
      <c r="C54" s="6"/>
      <c r="D54" s="7"/>
      <c r="E54" s="6"/>
      <c r="F54" s="7"/>
      <c r="G54" s="7"/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Hyp_to_CHC</vt:lpstr>
      <vt:lpstr>Hyperbola</vt:lpstr>
      <vt:lpstr>Hyperbola (2)</vt:lpstr>
      <vt:lpstr>CHC design</vt:lpstr>
      <vt:lpstr>CHC design (2)</vt:lpstr>
    </vt:vector>
  </TitlesOfParts>
  <Company>OSRAM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h.rehn</dc:creator>
  <cp:lastModifiedBy>Julius Muschaweck</cp:lastModifiedBy>
  <dcterms:created xsi:type="dcterms:W3CDTF">2017-05-17T06:02:31Z</dcterms:created>
  <dcterms:modified xsi:type="dcterms:W3CDTF">2025-03-02T06:25:10Z</dcterms:modified>
</cp:coreProperties>
</file>